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m.vaiksnoras\Desktop\Biudžetas 2024\"/>
    </mc:Choice>
  </mc:AlternateContent>
  <xr:revisionPtr revIDLastSave="0" documentId="13_ncr:1_{2258D977-DAF9-4FEE-8C91-08C4E9F6A7E9}" xr6:coauthVersionLast="47" xr6:coauthVersionMax="47" xr10:uidLastSave="{00000000-0000-0000-0000-000000000000}"/>
  <bookViews>
    <workbookView xWindow="-120" yWindow="-120" windowWidth="29040" windowHeight="15840" xr2:uid="{00000000-000D-0000-FFFF-FFFF00000000}"/>
  </bookViews>
  <sheets>
    <sheet name="2024 m paj" sheetId="6" r:id="rId1"/>
    <sheet name="2024 m. asgnavimai iš viso" sheetId="5" r:id="rId2"/>
    <sheet name="31 pr.2024" sheetId="2" r:id="rId3"/>
    <sheet name="32 pr.2024" sheetId="3" r:id="rId4"/>
    <sheet name="33 pr.2024" sheetId="4" r:id="rId5"/>
  </sheets>
  <externalReferences>
    <externalReference r:id="rId6"/>
    <externalReference r:id="rId7"/>
  </externalReferences>
  <definedNames>
    <definedName name="_Hlk531769037" localSheetId="2">'31 pr.2024'!#REF!</definedName>
    <definedName name="_xlnm.Print_Area" localSheetId="1">'2024 m. asgnavimai iš viso'!$A$1:$AG$29</definedName>
    <definedName name="_xlnm.Print_Area" localSheetId="2">'31 pr.2024'!$A$1:$AG$87</definedName>
    <definedName name="_xlnm.Print_Area" localSheetId="4">'33 pr.2024'!$A$1:$AG$99</definedName>
    <definedName name="_xlnm.Print_Titles" localSheetId="2">'31 pr.2024'!$3:$5</definedName>
    <definedName name="_xlnm.Print_Titles" localSheetId="3">'32 pr.2024'!$3:$5</definedName>
    <definedName name="_xlnm.Print_Titles" localSheetId="4">'33 pr.2024'!$3:$5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8" i="5" l="1"/>
  <c r="AH9" i="5"/>
  <c r="AH7" i="5"/>
  <c r="Z8" i="5"/>
  <c r="N9" i="2"/>
  <c r="U9" i="2"/>
  <c r="Z9" i="2" s="1"/>
  <c r="AD9" i="2" s="1"/>
  <c r="AG9" i="2" s="1"/>
  <c r="C117" i="6" l="1"/>
  <c r="C35" i="6"/>
  <c r="F124" i="6"/>
  <c r="C121" i="6"/>
  <c r="D108" i="6"/>
  <c r="C108" i="6"/>
  <c r="D104" i="6"/>
  <c r="C104" i="6"/>
  <c r="D100" i="6"/>
  <c r="D97" i="6" s="1"/>
  <c r="C100" i="6"/>
  <c r="G89" i="6"/>
  <c r="C89" i="6"/>
  <c r="G70" i="6"/>
  <c r="G67" i="6"/>
  <c r="I36" i="6"/>
  <c r="G36" i="6"/>
  <c r="C33" i="6"/>
  <c r="C25" i="6"/>
  <c r="C13" i="6"/>
  <c r="C12" i="6" s="1"/>
  <c r="F29" i="5"/>
  <c r="E28" i="5"/>
  <c r="C28" i="5"/>
  <c r="I28" i="5" s="1"/>
  <c r="G23" i="5"/>
  <c r="G22" i="5"/>
  <c r="F22" i="5"/>
  <c r="E22" i="5"/>
  <c r="D22" i="5"/>
  <c r="C22" i="5"/>
  <c r="G21" i="5"/>
  <c r="F21" i="5"/>
  <c r="E21" i="5"/>
  <c r="D21" i="5"/>
  <c r="C21" i="5"/>
  <c r="G20" i="5"/>
  <c r="F20" i="5"/>
  <c r="E20" i="5"/>
  <c r="D20" i="5"/>
  <c r="C20" i="5"/>
  <c r="G19" i="5"/>
  <c r="F19" i="5"/>
  <c r="E19" i="5"/>
  <c r="D19" i="5"/>
  <c r="C19" i="5"/>
  <c r="G18" i="5"/>
  <c r="F18" i="5"/>
  <c r="E18" i="5"/>
  <c r="D18" i="5"/>
  <c r="C18" i="5"/>
  <c r="G17" i="5"/>
  <c r="F17" i="5"/>
  <c r="E17" i="5"/>
  <c r="D17" i="5"/>
  <c r="C17" i="5"/>
  <c r="G16" i="5"/>
  <c r="F16" i="5"/>
  <c r="E16" i="5"/>
  <c r="D16" i="5"/>
  <c r="C16" i="5"/>
  <c r="G15" i="5"/>
  <c r="F15" i="5"/>
  <c r="E15" i="5"/>
  <c r="D15" i="5"/>
  <c r="C15" i="5"/>
  <c r="G14" i="5"/>
  <c r="F14" i="5"/>
  <c r="E14" i="5"/>
  <c r="D14" i="5"/>
  <c r="C14" i="5"/>
  <c r="G13" i="5"/>
  <c r="F13" i="5"/>
  <c r="F23" i="5" s="1"/>
  <c r="F24" i="5" s="1"/>
  <c r="E13" i="5"/>
  <c r="E23" i="5" s="1"/>
  <c r="E24" i="5" s="1"/>
  <c r="D13" i="5"/>
  <c r="D23" i="5" s="1"/>
  <c r="D24" i="5" s="1"/>
  <c r="C13" i="5"/>
  <c r="H13" i="5" s="1"/>
  <c r="W11" i="5"/>
  <c r="V11" i="5"/>
  <c r="U11" i="5"/>
  <c r="T11" i="5"/>
  <c r="S11" i="5"/>
  <c r="R11" i="5"/>
  <c r="Q11" i="5"/>
  <c r="O11" i="5"/>
  <c r="M11" i="5"/>
  <c r="I11" i="5"/>
  <c r="I25" i="5" s="1"/>
  <c r="AG9" i="5"/>
  <c r="AF9" i="5"/>
  <c r="AE9" i="5"/>
  <c r="AD9" i="5"/>
  <c r="AC9" i="5"/>
  <c r="AB9" i="5"/>
  <c r="AA9" i="5"/>
  <c r="Y9" i="5"/>
  <c r="X9" i="5"/>
  <c r="W9" i="5"/>
  <c r="V9" i="5"/>
  <c r="U9" i="5"/>
  <c r="T9" i="5"/>
  <c r="S9" i="5"/>
  <c r="R9" i="5"/>
  <c r="Q9" i="5"/>
  <c r="P9" i="5"/>
  <c r="O9" i="5"/>
  <c r="N9" i="5"/>
  <c r="M9" i="5"/>
  <c r="L9" i="5"/>
  <c r="K9" i="5"/>
  <c r="J9" i="5"/>
  <c r="I9" i="5"/>
  <c r="H9" i="5"/>
  <c r="G9" i="5"/>
  <c r="F9" i="5"/>
  <c r="E9" i="5"/>
  <c r="D9" i="5"/>
  <c r="C9" i="5"/>
  <c r="AG8" i="5"/>
  <c r="AF8" i="5"/>
  <c r="AF10" i="5" s="1"/>
  <c r="AE8" i="5"/>
  <c r="AD8" i="5"/>
  <c r="AC8" i="5"/>
  <c r="AB8" i="5"/>
  <c r="AA8" i="5"/>
  <c r="Y8" i="5"/>
  <c r="X8" i="5"/>
  <c r="W8" i="5"/>
  <c r="V8" i="5"/>
  <c r="U8" i="5"/>
  <c r="T8" i="5"/>
  <c r="S8" i="5"/>
  <c r="R8" i="5"/>
  <c r="R10" i="5" s="1"/>
  <c r="R12" i="5" s="1"/>
  <c r="Q8" i="5"/>
  <c r="P8" i="5"/>
  <c r="O8" i="5"/>
  <c r="N8" i="5"/>
  <c r="M8" i="5"/>
  <c r="L8" i="5"/>
  <c r="K8" i="5"/>
  <c r="J8" i="5"/>
  <c r="I8" i="5"/>
  <c r="H8" i="5"/>
  <c r="G8" i="5"/>
  <c r="F8" i="5"/>
  <c r="E8" i="5"/>
  <c r="D8" i="5"/>
  <c r="C8" i="5"/>
  <c r="AG7" i="5"/>
  <c r="AF7" i="5"/>
  <c r="AE7" i="5"/>
  <c r="AD7" i="5"/>
  <c r="AD10" i="5" s="1"/>
  <c r="AC7" i="5"/>
  <c r="AC10" i="5" s="1"/>
  <c r="AB7" i="5"/>
  <c r="AB10" i="5" s="1"/>
  <c r="AA7" i="5"/>
  <c r="Y7" i="5"/>
  <c r="X7" i="5"/>
  <c r="W7" i="5"/>
  <c r="V7" i="5"/>
  <c r="U7" i="5"/>
  <c r="U10" i="5" s="1"/>
  <c r="U12" i="5" s="1"/>
  <c r="T7" i="5"/>
  <c r="T10" i="5" s="1"/>
  <c r="S7" i="5"/>
  <c r="R7" i="5"/>
  <c r="Q7" i="5"/>
  <c r="P7" i="5"/>
  <c r="O7" i="5"/>
  <c r="N7" i="5"/>
  <c r="M7" i="5"/>
  <c r="M10" i="5" s="1"/>
  <c r="L7" i="5"/>
  <c r="L10" i="5" s="1"/>
  <c r="K7" i="5"/>
  <c r="J7" i="5"/>
  <c r="J10" i="5" s="1"/>
  <c r="I7" i="5"/>
  <c r="H7" i="5"/>
  <c r="G7" i="5"/>
  <c r="F7" i="5"/>
  <c r="E7" i="5"/>
  <c r="E10" i="5" s="1"/>
  <c r="E12" i="5" s="1"/>
  <c r="D7" i="5"/>
  <c r="D10" i="5" s="1"/>
  <c r="D12" i="5" s="1"/>
  <c r="C7" i="5"/>
  <c r="U99" i="4"/>
  <c r="M99" i="4"/>
  <c r="N99" i="4" s="1"/>
  <c r="U98" i="4"/>
  <c r="Z98" i="4" s="1"/>
  <c r="AD98" i="4" s="1"/>
  <c r="AG98" i="4" s="1"/>
  <c r="N98" i="4"/>
  <c r="U97" i="4"/>
  <c r="Z97" i="4" s="1"/>
  <c r="AD97" i="4" s="1"/>
  <c r="AG97" i="4" s="1"/>
  <c r="N97" i="4"/>
  <c r="AB96" i="4"/>
  <c r="U96" i="4"/>
  <c r="Z96" i="4" s="1"/>
  <c r="U95" i="4"/>
  <c r="Z95" i="4" s="1"/>
  <c r="AD95" i="4" s="1"/>
  <c r="AG95" i="4" s="1"/>
  <c r="AB94" i="4"/>
  <c r="W94" i="4"/>
  <c r="U94" i="4"/>
  <c r="M94" i="4"/>
  <c r="Z94" i="4" s="1"/>
  <c r="AF93" i="4"/>
  <c r="AF82" i="4" s="1"/>
  <c r="AE93" i="4"/>
  <c r="AA93" i="4"/>
  <c r="Y93" i="4"/>
  <c r="X93" i="4"/>
  <c r="W93" i="4"/>
  <c r="V93" i="4"/>
  <c r="T93" i="4"/>
  <c r="S93" i="4"/>
  <c r="R93" i="4"/>
  <c r="Q93" i="4"/>
  <c r="P93" i="4"/>
  <c r="O93" i="4"/>
  <c r="L93" i="4"/>
  <c r="J93" i="4"/>
  <c r="I93" i="4"/>
  <c r="H93" i="4"/>
  <c r="G93" i="4"/>
  <c r="F93" i="4"/>
  <c r="E93" i="4"/>
  <c r="D93" i="4"/>
  <c r="C93" i="4"/>
  <c r="U92" i="4"/>
  <c r="Z92" i="4" s="1"/>
  <c r="AD92" i="4" s="1"/>
  <c r="AG92" i="4" s="1"/>
  <c r="U91" i="4"/>
  <c r="Z91" i="4" s="1"/>
  <c r="AD91" i="4" s="1"/>
  <c r="AG91" i="4" s="1"/>
  <c r="U90" i="4"/>
  <c r="Z90" i="4" s="1"/>
  <c r="AD90" i="4" s="1"/>
  <c r="AG90" i="4" s="1"/>
  <c r="U89" i="4"/>
  <c r="Z89" i="4" s="1"/>
  <c r="AD89" i="4" s="1"/>
  <c r="AG89" i="4" s="1"/>
  <c r="U88" i="4"/>
  <c r="Z88" i="4" s="1"/>
  <c r="AD88" i="4" s="1"/>
  <c r="AG88" i="4" s="1"/>
  <c r="U87" i="4"/>
  <c r="Z87" i="4" s="1"/>
  <c r="AD87" i="4" s="1"/>
  <c r="AG87" i="4" s="1"/>
  <c r="N87" i="4"/>
  <c r="U86" i="4"/>
  <c r="Z86" i="4" s="1"/>
  <c r="AD86" i="4" s="1"/>
  <c r="AG86" i="4" s="1"/>
  <c r="N86" i="4"/>
  <c r="U85" i="4"/>
  <c r="Z85" i="4" s="1"/>
  <c r="AD85" i="4" s="1"/>
  <c r="AG85" i="4" s="1"/>
  <c r="N85" i="4"/>
  <c r="U84" i="4"/>
  <c r="N84" i="4"/>
  <c r="AE83" i="4"/>
  <c r="AB83" i="4"/>
  <c r="AA83" i="4"/>
  <c r="Y83" i="4"/>
  <c r="Y82" i="4" s="1"/>
  <c r="X83" i="4"/>
  <c r="X82" i="4" s="1"/>
  <c r="W83" i="4"/>
  <c r="W82" i="4" s="1"/>
  <c r="V83" i="4"/>
  <c r="T83" i="4"/>
  <c r="S83" i="4"/>
  <c r="R83" i="4"/>
  <c r="R82" i="4" s="1"/>
  <c r="Q83" i="4"/>
  <c r="P83" i="4"/>
  <c r="P82" i="4" s="1"/>
  <c r="O83" i="4"/>
  <c r="O82" i="4" s="1"/>
  <c r="M83" i="4"/>
  <c r="L83" i="4"/>
  <c r="L82" i="4" s="1"/>
  <c r="J83" i="4"/>
  <c r="I83" i="4"/>
  <c r="H83" i="4"/>
  <c r="G83" i="4"/>
  <c r="F83" i="4"/>
  <c r="E83" i="4"/>
  <c r="D83" i="4"/>
  <c r="C83" i="4"/>
  <c r="C82" i="4" s="1"/>
  <c r="U81" i="4"/>
  <c r="Z81" i="4" s="1"/>
  <c r="AD81" i="4" s="1"/>
  <c r="AG81" i="4" s="1"/>
  <c r="U80" i="4"/>
  <c r="Z80" i="4" s="1"/>
  <c r="AD80" i="4" s="1"/>
  <c r="AG80" i="4" s="1"/>
  <c r="U79" i="4"/>
  <c r="Z79" i="4" s="1"/>
  <c r="AD79" i="4" s="1"/>
  <c r="AG79" i="4" s="1"/>
  <c r="W77" i="4"/>
  <c r="U77" i="4"/>
  <c r="AF75" i="4"/>
  <c r="AE75" i="4"/>
  <c r="AB75" i="4"/>
  <c r="AA75" i="4"/>
  <c r="Y75" i="4"/>
  <c r="X75" i="4"/>
  <c r="V75" i="4"/>
  <c r="T75" i="4"/>
  <c r="S75" i="4"/>
  <c r="R75" i="4"/>
  <c r="Q75" i="4"/>
  <c r="P75" i="4"/>
  <c r="O75" i="4"/>
  <c r="N75" i="4"/>
  <c r="M75" i="4"/>
  <c r="L75" i="4"/>
  <c r="J75" i="4"/>
  <c r="I75" i="4"/>
  <c r="H75" i="4"/>
  <c r="G75" i="4"/>
  <c r="F75" i="4"/>
  <c r="E75" i="4"/>
  <c r="D75" i="4"/>
  <c r="C75" i="4"/>
  <c r="U74" i="4"/>
  <c r="Z74" i="4" s="1"/>
  <c r="AD74" i="4" s="1"/>
  <c r="AG74" i="4" s="1"/>
  <c r="U73" i="4"/>
  <c r="Z73" i="4" s="1"/>
  <c r="AD73" i="4" s="1"/>
  <c r="AG73" i="4" s="1"/>
  <c r="N73" i="4"/>
  <c r="U72" i="4"/>
  <c r="Z72" i="4" s="1"/>
  <c r="AD72" i="4" s="1"/>
  <c r="AG72" i="4" s="1"/>
  <c r="N72" i="4"/>
  <c r="U71" i="4"/>
  <c r="Z71" i="4" s="1"/>
  <c r="AD71" i="4" s="1"/>
  <c r="AG71" i="4" s="1"/>
  <c r="N71" i="4"/>
  <c r="U70" i="4"/>
  <c r="N70" i="4"/>
  <c r="U69" i="4"/>
  <c r="Z69" i="4" s="1"/>
  <c r="AD69" i="4" s="1"/>
  <c r="AG69" i="4" s="1"/>
  <c r="U68" i="4"/>
  <c r="Z68" i="4" s="1"/>
  <c r="AD68" i="4" s="1"/>
  <c r="AG68" i="4" s="1"/>
  <c r="N68" i="4"/>
  <c r="U67" i="4"/>
  <c r="Z67" i="4" s="1"/>
  <c r="AD67" i="4" s="1"/>
  <c r="AG67" i="4" s="1"/>
  <c r="N67" i="4"/>
  <c r="AB66" i="4"/>
  <c r="AB65" i="4" s="1"/>
  <c r="U66" i="4"/>
  <c r="Z66" i="4" s="1"/>
  <c r="N66" i="4"/>
  <c r="AF65" i="4"/>
  <c r="AE65" i="4"/>
  <c r="AE37" i="4" s="1"/>
  <c r="AA65" i="4"/>
  <c r="Y65" i="4"/>
  <c r="X65" i="4"/>
  <c r="W65" i="4"/>
  <c r="V65" i="4"/>
  <c r="T65" i="4"/>
  <c r="S65" i="4"/>
  <c r="R65" i="4"/>
  <c r="Q65" i="4"/>
  <c r="P65" i="4"/>
  <c r="O65" i="4"/>
  <c r="M65" i="4"/>
  <c r="L65" i="4"/>
  <c r="J65" i="4"/>
  <c r="I65" i="4"/>
  <c r="H65" i="4"/>
  <c r="G65" i="4"/>
  <c r="F65" i="4"/>
  <c r="E65" i="4"/>
  <c r="D65" i="4"/>
  <c r="C65" i="4"/>
  <c r="T64" i="4"/>
  <c r="T38" i="4" s="1"/>
  <c r="T37" i="4" s="1"/>
  <c r="T63" i="4"/>
  <c r="U63" i="4" s="1"/>
  <c r="Z63" i="4" s="1"/>
  <c r="AD63" i="4" s="1"/>
  <c r="AG63" i="4" s="1"/>
  <c r="U62" i="4"/>
  <c r="Z62" i="4" s="1"/>
  <c r="AD62" i="4" s="1"/>
  <c r="AG62" i="4" s="1"/>
  <c r="U61" i="4"/>
  <c r="Z61" i="4" s="1"/>
  <c r="AD61" i="4" s="1"/>
  <c r="AG61" i="4" s="1"/>
  <c r="U60" i="4"/>
  <c r="Z60" i="4" s="1"/>
  <c r="AD60" i="4" s="1"/>
  <c r="AG60" i="4" s="1"/>
  <c r="U59" i="4"/>
  <c r="Z59" i="4" s="1"/>
  <c r="AD59" i="4" s="1"/>
  <c r="AG59" i="4" s="1"/>
  <c r="W58" i="4"/>
  <c r="U58" i="4"/>
  <c r="M58" i="4"/>
  <c r="AB57" i="4"/>
  <c r="U57" i="4"/>
  <c r="M57" i="4"/>
  <c r="F57" i="4"/>
  <c r="AB56" i="4"/>
  <c r="W56" i="4"/>
  <c r="U56" i="4"/>
  <c r="M56" i="4"/>
  <c r="AB55" i="4"/>
  <c r="W55" i="4"/>
  <c r="U55" i="4"/>
  <c r="M55" i="4"/>
  <c r="W54" i="4"/>
  <c r="U54" i="4"/>
  <c r="M54" i="4"/>
  <c r="AB53" i="4"/>
  <c r="U53" i="4"/>
  <c r="O53" i="4"/>
  <c r="M53" i="4"/>
  <c r="F53" i="4"/>
  <c r="U52" i="4"/>
  <c r="Z52" i="4" s="1"/>
  <c r="AD52" i="4" s="1"/>
  <c r="AG52" i="4" s="1"/>
  <c r="M52" i="4"/>
  <c r="F52" i="4"/>
  <c r="AB51" i="4"/>
  <c r="U51" i="4"/>
  <c r="M51" i="4"/>
  <c r="U50" i="4"/>
  <c r="M50" i="4"/>
  <c r="Z50" i="4" s="1"/>
  <c r="AD50" i="4" s="1"/>
  <c r="AG50" i="4" s="1"/>
  <c r="U49" i="4"/>
  <c r="Z49" i="4" s="1"/>
  <c r="AD49" i="4" s="1"/>
  <c r="AG49" i="4" s="1"/>
  <c r="AB48" i="4"/>
  <c r="U48" i="4"/>
  <c r="M48" i="4"/>
  <c r="AB47" i="4"/>
  <c r="U47" i="4"/>
  <c r="O47" i="4"/>
  <c r="M47" i="4"/>
  <c r="F47" i="4"/>
  <c r="E47" i="4"/>
  <c r="U46" i="4"/>
  <c r="Z46" i="4" s="1"/>
  <c r="AD46" i="4" s="1"/>
  <c r="AG46" i="4" s="1"/>
  <c r="Z45" i="4"/>
  <c r="AD45" i="4" s="1"/>
  <c r="AG45" i="4" s="1"/>
  <c r="U45" i="4"/>
  <c r="U44" i="4"/>
  <c r="M44" i="4"/>
  <c r="U43" i="4"/>
  <c r="M43" i="4"/>
  <c r="Z43" i="4" s="1"/>
  <c r="AD43" i="4" s="1"/>
  <c r="AG43" i="4" s="1"/>
  <c r="U42" i="4"/>
  <c r="M42" i="4"/>
  <c r="Z42" i="4" s="1"/>
  <c r="AD42" i="4" s="1"/>
  <c r="AG42" i="4" s="1"/>
  <c r="Z41" i="4"/>
  <c r="AD41" i="4" s="1"/>
  <c r="AG41" i="4" s="1"/>
  <c r="U41" i="4"/>
  <c r="U40" i="4"/>
  <c r="U39" i="4"/>
  <c r="M39" i="4"/>
  <c r="Z39" i="4" s="1"/>
  <c r="AD39" i="4" s="1"/>
  <c r="F39" i="4"/>
  <c r="AA38" i="4"/>
  <c r="Y38" i="4"/>
  <c r="X38" i="4"/>
  <c r="V38" i="4"/>
  <c r="S38" i="4"/>
  <c r="R38" i="4"/>
  <c r="Q38" i="4"/>
  <c r="P38" i="4"/>
  <c r="N38" i="4"/>
  <c r="M38" i="4"/>
  <c r="M37" i="4" s="1"/>
  <c r="L38" i="4"/>
  <c r="J38" i="4"/>
  <c r="I38" i="4"/>
  <c r="H38" i="4"/>
  <c r="G38" i="4"/>
  <c r="E38" i="4"/>
  <c r="D38" i="4"/>
  <c r="C38" i="4"/>
  <c r="C37" i="4" s="1"/>
  <c r="AC37" i="4"/>
  <c r="U36" i="4"/>
  <c r="Z36" i="4" s="1"/>
  <c r="AD36" i="4" s="1"/>
  <c r="AG36" i="4" s="1"/>
  <c r="AB35" i="4"/>
  <c r="U35" i="4"/>
  <c r="M35" i="4"/>
  <c r="F35" i="4"/>
  <c r="AB34" i="4"/>
  <c r="U34" i="4"/>
  <c r="M34" i="4"/>
  <c r="AB33" i="4"/>
  <c r="U33" i="4"/>
  <c r="M33" i="4"/>
  <c r="Z33" i="4" s="1"/>
  <c r="AD33" i="4" s="1"/>
  <c r="AG33" i="4" s="1"/>
  <c r="U32" i="4"/>
  <c r="Z32" i="4" s="1"/>
  <c r="AD32" i="4" s="1"/>
  <c r="AG32" i="4" s="1"/>
  <c r="N32" i="4"/>
  <c r="AB31" i="4"/>
  <c r="U31" i="4"/>
  <c r="M31" i="4"/>
  <c r="N31" i="4" s="1"/>
  <c r="U30" i="4"/>
  <c r="N30" i="4"/>
  <c r="AF29" i="4"/>
  <c r="AE29" i="4"/>
  <c r="AA29" i="4"/>
  <c r="Y29" i="4"/>
  <c r="X29" i="4"/>
  <c r="W29" i="4"/>
  <c r="V29" i="4"/>
  <c r="T29" i="4"/>
  <c r="S29" i="4"/>
  <c r="R29" i="4"/>
  <c r="Q29" i="4"/>
  <c r="P29" i="4"/>
  <c r="O29" i="4"/>
  <c r="L29" i="4"/>
  <c r="J29" i="4"/>
  <c r="I29" i="4"/>
  <c r="H29" i="4"/>
  <c r="G29" i="4"/>
  <c r="F29" i="4"/>
  <c r="E29" i="4"/>
  <c r="D29" i="4"/>
  <c r="C29" i="4"/>
  <c r="U28" i="4"/>
  <c r="Z28" i="4" s="1"/>
  <c r="AD28" i="4" s="1"/>
  <c r="AG28" i="4" s="1"/>
  <c r="N28" i="4"/>
  <c r="AB27" i="4"/>
  <c r="AB26" i="4" s="1"/>
  <c r="U27" i="4"/>
  <c r="Z27" i="4" s="1"/>
  <c r="AD27" i="4" s="1"/>
  <c r="AG27" i="4" s="1"/>
  <c r="N27" i="4"/>
  <c r="AE26" i="4"/>
  <c r="AA26" i="4"/>
  <c r="Y26" i="4"/>
  <c r="X26" i="4"/>
  <c r="W26" i="4"/>
  <c r="V26" i="4"/>
  <c r="T26" i="4"/>
  <c r="S26" i="4"/>
  <c r="R26" i="4"/>
  <c r="Q26" i="4"/>
  <c r="P26" i="4"/>
  <c r="O26" i="4"/>
  <c r="M26" i="4"/>
  <c r="L26" i="4"/>
  <c r="J26" i="4"/>
  <c r="I26" i="4"/>
  <c r="H26" i="4"/>
  <c r="G26" i="4"/>
  <c r="F26" i="4"/>
  <c r="E26" i="4"/>
  <c r="D26" i="4"/>
  <c r="C26" i="4"/>
  <c r="C7" i="4" s="1"/>
  <c r="U25" i="4"/>
  <c r="Z25" i="4" s="1"/>
  <c r="AD25" i="4" s="1"/>
  <c r="AG25" i="4" s="1"/>
  <c r="N25" i="4"/>
  <c r="U24" i="4"/>
  <c r="Z24" i="4" s="1"/>
  <c r="AD24" i="4" s="1"/>
  <c r="AG24" i="4" s="1"/>
  <c r="N24" i="4"/>
  <c r="U23" i="4"/>
  <c r="Z23" i="4" s="1"/>
  <c r="AD23" i="4" s="1"/>
  <c r="AG23" i="4" s="1"/>
  <c r="N23" i="4"/>
  <c r="AB22" i="4"/>
  <c r="U22" i="4"/>
  <c r="N22" i="4"/>
  <c r="M22" i="4"/>
  <c r="U21" i="4"/>
  <c r="Z21" i="4" s="1"/>
  <c r="AD21" i="4" s="1"/>
  <c r="AG21" i="4" s="1"/>
  <c r="N21" i="4"/>
  <c r="U20" i="4"/>
  <c r="Z20" i="4" s="1"/>
  <c r="AD20" i="4" s="1"/>
  <c r="AG20" i="4" s="1"/>
  <c r="N20" i="4"/>
  <c r="AB19" i="4"/>
  <c r="U19" i="4"/>
  <c r="M19" i="4"/>
  <c r="F19" i="4"/>
  <c r="U18" i="4"/>
  <c r="N18" i="4"/>
  <c r="AB17" i="4"/>
  <c r="U17" i="4"/>
  <c r="O17" i="4"/>
  <c r="M17" i="4"/>
  <c r="F17" i="4"/>
  <c r="U16" i="4"/>
  <c r="Z16" i="4" s="1"/>
  <c r="AD16" i="4" s="1"/>
  <c r="AG16" i="4" s="1"/>
  <c r="U15" i="4"/>
  <c r="Z15" i="4" s="1"/>
  <c r="AD15" i="4" s="1"/>
  <c r="AG15" i="4" s="1"/>
  <c r="U14" i="4"/>
  <c r="Z14" i="4" s="1"/>
  <c r="AD14" i="4" s="1"/>
  <c r="AG14" i="4" s="1"/>
  <c r="U13" i="4"/>
  <c r="Z13" i="4" s="1"/>
  <c r="AD13" i="4" s="1"/>
  <c r="AG13" i="4" s="1"/>
  <c r="U12" i="4"/>
  <c r="Z12" i="4" s="1"/>
  <c r="AD12" i="4" s="1"/>
  <c r="AG12" i="4" s="1"/>
  <c r="U11" i="4"/>
  <c r="Z11" i="4" s="1"/>
  <c r="AD11" i="4" s="1"/>
  <c r="AG11" i="4" s="1"/>
  <c r="AB10" i="4"/>
  <c r="U10" i="4"/>
  <c r="O10" i="4"/>
  <c r="O8" i="4" s="1"/>
  <c r="M10" i="4"/>
  <c r="F10" i="4"/>
  <c r="AB9" i="4"/>
  <c r="U9" i="4"/>
  <c r="O9" i="4"/>
  <c r="M9" i="4"/>
  <c r="F9" i="4"/>
  <c r="F8" i="4" s="1"/>
  <c r="AE8" i="4"/>
  <c r="AA8" i="4"/>
  <c r="Y8" i="4"/>
  <c r="X8" i="4"/>
  <c r="W8" i="4"/>
  <c r="V8" i="4"/>
  <c r="T8" i="4"/>
  <c r="S8" i="4"/>
  <c r="R8" i="4"/>
  <c r="Q8" i="4"/>
  <c r="P8" i="4"/>
  <c r="L8" i="4"/>
  <c r="J8" i="4"/>
  <c r="I8" i="4"/>
  <c r="H8" i="4"/>
  <c r="G8" i="4"/>
  <c r="E8" i="4"/>
  <c r="D8" i="4"/>
  <c r="C8" i="4"/>
  <c r="M2" i="4"/>
  <c r="AB87" i="3"/>
  <c r="U87" i="3"/>
  <c r="M87" i="3"/>
  <c r="AB86" i="3"/>
  <c r="U86" i="3"/>
  <c r="M86" i="3"/>
  <c r="AB85" i="3"/>
  <c r="U85" i="3"/>
  <c r="P85" i="3"/>
  <c r="M85" i="3"/>
  <c r="N85" i="3" s="1"/>
  <c r="U84" i="3"/>
  <c r="Z84" i="3" s="1"/>
  <c r="AD84" i="3" s="1"/>
  <c r="AG84" i="3" s="1"/>
  <c r="P84" i="3"/>
  <c r="N84" i="3"/>
  <c r="U83" i="3"/>
  <c r="Z83" i="3" s="1"/>
  <c r="AD83" i="3" s="1"/>
  <c r="AG83" i="3" s="1"/>
  <c r="P83" i="3"/>
  <c r="N83" i="3"/>
  <c r="AB82" i="3"/>
  <c r="W82" i="3"/>
  <c r="U82" i="3"/>
  <c r="M82" i="3"/>
  <c r="AB81" i="3"/>
  <c r="U81" i="3"/>
  <c r="Z81" i="3" s="1"/>
  <c r="N81" i="3"/>
  <c r="U80" i="3"/>
  <c r="Z80" i="3" s="1"/>
  <c r="AD80" i="3" s="1"/>
  <c r="AG80" i="3" s="1"/>
  <c r="N80" i="3"/>
  <c r="U79" i="3"/>
  <c r="Z79" i="3" s="1"/>
  <c r="AD79" i="3" s="1"/>
  <c r="AG79" i="3" s="1"/>
  <c r="N79" i="3"/>
  <c r="U78" i="3"/>
  <c r="Z78" i="3" s="1"/>
  <c r="AD78" i="3" s="1"/>
  <c r="AG78" i="3" s="1"/>
  <c r="N78" i="3"/>
  <c r="U77" i="3"/>
  <c r="Z77" i="3" s="1"/>
  <c r="AD77" i="3" s="1"/>
  <c r="AG77" i="3" s="1"/>
  <c r="P77" i="3"/>
  <c r="N77" i="3"/>
  <c r="U76" i="3"/>
  <c r="Z76" i="3" s="1"/>
  <c r="AD76" i="3" s="1"/>
  <c r="AG76" i="3" s="1"/>
  <c r="P76" i="3"/>
  <c r="N76" i="3"/>
  <c r="U75" i="3"/>
  <c r="Z75" i="3" s="1"/>
  <c r="AD75" i="3" s="1"/>
  <c r="AG75" i="3" s="1"/>
  <c r="N75" i="3"/>
  <c r="AB74" i="3"/>
  <c r="U74" i="3"/>
  <c r="M74" i="3"/>
  <c r="AB73" i="3"/>
  <c r="W73" i="3"/>
  <c r="W72" i="3" s="1"/>
  <c r="W71" i="3" s="1"/>
  <c r="U73" i="3"/>
  <c r="M73" i="3"/>
  <c r="AE72" i="3"/>
  <c r="AE71" i="3" s="1"/>
  <c r="AA72" i="3"/>
  <c r="AA71" i="3" s="1"/>
  <c r="Y72" i="3"/>
  <c r="Y71" i="3" s="1"/>
  <c r="X72" i="3"/>
  <c r="V72" i="3"/>
  <c r="V71" i="3" s="1"/>
  <c r="T72" i="3"/>
  <c r="T71" i="3" s="1"/>
  <c r="S72" i="3"/>
  <c r="S71" i="3" s="1"/>
  <c r="R72" i="3"/>
  <c r="R71" i="3" s="1"/>
  <c r="Q72" i="3"/>
  <c r="Q71" i="3" s="1"/>
  <c r="O72" i="3"/>
  <c r="O71" i="3" s="1"/>
  <c r="L72" i="3"/>
  <c r="L71" i="3" s="1"/>
  <c r="J72" i="3"/>
  <c r="J71" i="3" s="1"/>
  <c r="I72" i="3"/>
  <c r="I71" i="3" s="1"/>
  <c r="H72" i="3"/>
  <c r="H71" i="3" s="1"/>
  <c r="G72" i="3"/>
  <c r="G71" i="3" s="1"/>
  <c r="F72" i="3"/>
  <c r="F71" i="3" s="1"/>
  <c r="E72" i="3"/>
  <c r="E71" i="3" s="1"/>
  <c r="D72" i="3"/>
  <c r="D71" i="3" s="1"/>
  <c r="C72" i="3"/>
  <c r="C71" i="3" s="1"/>
  <c r="X71" i="3"/>
  <c r="U70" i="3"/>
  <c r="Z70" i="3" s="1"/>
  <c r="AD70" i="3" s="1"/>
  <c r="AG70" i="3" s="1"/>
  <c r="U69" i="3"/>
  <c r="Z69" i="3" s="1"/>
  <c r="AD69" i="3" s="1"/>
  <c r="AG69" i="3" s="1"/>
  <c r="U68" i="3"/>
  <c r="Z68" i="3" s="1"/>
  <c r="AD68" i="3" s="1"/>
  <c r="AG68" i="3" s="1"/>
  <c r="N68" i="3"/>
  <c r="Z67" i="3"/>
  <c r="AD67" i="3" s="1"/>
  <c r="AG67" i="3" s="1"/>
  <c r="U67" i="3"/>
  <c r="N67" i="3"/>
  <c r="U66" i="3"/>
  <c r="Z66" i="3" s="1"/>
  <c r="AD66" i="3" s="1"/>
  <c r="AG66" i="3" s="1"/>
  <c r="N66" i="3"/>
  <c r="U65" i="3"/>
  <c r="Z65" i="3" s="1"/>
  <c r="AD65" i="3" s="1"/>
  <c r="AG65" i="3" s="1"/>
  <c r="N65" i="3"/>
  <c r="U64" i="3"/>
  <c r="Z64" i="3" s="1"/>
  <c r="AD64" i="3" s="1"/>
  <c r="AG64" i="3" s="1"/>
  <c r="N64" i="3"/>
  <c r="AE63" i="3"/>
  <c r="AB63" i="3"/>
  <c r="AA63" i="3"/>
  <c r="Y63" i="3"/>
  <c r="X63" i="3"/>
  <c r="W63" i="3"/>
  <c r="V63" i="3"/>
  <c r="T63" i="3"/>
  <c r="S63" i="3"/>
  <c r="R63" i="3"/>
  <c r="Q63" i="3"/>
  <c r="P63" i="3"/>
  <c r="O63" i="3"/>
  <c r="M63" i="3"/>
  <c r="L63" i="3"/>
  <c r="J63" i="3"/>
  <c r="I63" i="3"/>
  <c r="H63" i="3"/>
  <c r="G63" i="3"/>
  <c r="F63" i="3"/>
  <c r="E63" i="3"/>
  <c r="D63" i="3"/>
  <c r="C63" i="3"/>
  <c r="Z62" i="3"/>
  <c r="AD62" i="3" s="1"/>
  <c r="AG62" i="3" s="1"/>
  <c r="U62" i="3"/>
  <c r="U61" i="3"/>
  <c r="Z61" i="3" s="1"/>
  <c r="AD61" i="3" s="1"/>
  <c r="AG61" i="3" s="1"/>
  <c r="Z60" i="3"/>
  <c r="AD60" i="3" s="1"/>
  <c r="AG60" i="3" s="1"/>
  <c r="U60" i="3"/>
  <c r="N60" i="3"/>
  <c r="U59" i="3"/>
  <c r="Z59" i="3" s="1"/>
  <c r="AD59" i="3" s="1"/>
  <c r="AG59" i="3" s="1"/>
  <c r="N59" i="3"/>
  <c r="U58" i="3"/>
  <c r="Z58" i="3" s="1"/>
  <c r="AD58" i="3" s="1"/>
  <c r="AG58" i="3" s="1"/>
  <c r="N58" i="3"/>
  <c r="U57" i="3"/>
  <c r="Z57" i="3" s="1"/>
  <c r="AD57" i="3" s="1"/>
  <c r="AG57" i="3" s="1"/>
  <c r="N57" i="3"/>
  <c r="U56" i="3"/>
  <c r="Z56" i="3" s="1"/>
  <c r="AD56" i="3" s="1"/>
  <c r="AG56" i="3" s="1"/>
  <c r="N56" i="3"/>
  <c r="U55" i="3"/>
  <c r="Z55" i="3" s="1"/>
  <c r="AD55" i="3" s="1"/>
  <c r="AG55" i="3" s="1"/>
  <c r="P55" i="3"/>
  <c r="N55" i="3"/>
  <c r="U54" i="3"/>
  <c r="Z54" i="3" s="1"/>
  <c r="AD54" i="3" s="1"/>
  <c r="AG54" i="3" s="1"/>
  <c r="P54" i="3"/>
  <c r="N54" i="3"/>
  <c r="U53" i="3"/>
  <c r="Z53" i="3" s="1"/>
  <c r="AD53" i="3" s="1"/>
  <c r="AG53" i="3" s="1"/>
  <c r="P53" i="3"/>
  <c r="N53" i="3"/>
  <c r="U52" i="3"/>
  <c r="Z52" i="3" s="1"/>
  <c r="AD52" i="3" s="1"/>
  <c r="AG52" i="3" s="1"/>
  <c r="P52" i="3"/>
  <c r="N52" i="3"/>
  <c r="U51" i="3"/>
  <c r="P51" i="3"/>
  <c r="M51" i="3"/>
  <c r="W50" i="3"/>
  <c r="U50" i="3"/>
  <c r="M50" i="3"/>
  <c r="AB49" i="3"/>
  <c r="W49" i="3"/>
  <c r="U49" i="3"/>
  <c r="M49" i="3"/>
  <c r="W48" i="3"/>
  <c r="U48" i="3"/>
  <c r="M48" i="3"/>
  <c r="AB47" i="3"/>
  <c r="AB46" i="3" s="1"/>
  <c r="U47" i="3"/>
  <c r="M47" i="3"/>
  <c r="F47" i="3"/>
  <c r="AF46" i="3"/>
  <c r="AE46" i="3"/>
  <c r="AA46" i="3"/>
  <c r="Y46" i="3"/>
  <c r="X46" i="3"/>
  <c r="V46" i="3"/>
  <c r="T46" i="3"/>
  <c r="S46" i="3"/>
  <c r="R46" i="3"/>
  <c r="Q46" i="3"/>
  <c r="O46" i="3"/>
  <c r="L46" i="3"/>
  <c r="J46" i="3"/>
  <c r="I46" i="3"/>
  <c r="H46" i="3"/>
  <c r="G46" i="3"/>
  <c r="F46" i="3"/>
  <c r="E46" i="3"/>
  <c r="D46" i="3"/>
  <c r="C46" i="3"/>
  <c r="U45" i="3"/>
  <c r="Z45" i="3" s="1"/>
  <c r="AD45" i="3" s="1"/>
  <c r="AG45" i="3" s="1"/>
  <c r="AB44" i="3"/>
  <c r="W44" i="3"/>
  <c r="U44" i="3"/>
  <c r="M44" i="3"/>
  <c r="U43" i="3"/>
  <c r="Z43" i="3" s="1"/>
  <c r="AD43" i="3" s="1"/>
  <c r="AG43" i="3" s="1"/>
  <c r="N43" i="3"/>
  <c r="W42" i="3"/>
  <c r="U42" i="3"/>
  <c r="M42" i="3"/>
  <c r="C42" i="3"/>
  <c r="C28" i="3" s="1"/>
  <c r="U41" i="3"/>
  <c r="Z41" i="3" s="1"/>
  <c r="AD41" i="3" s="1"/>
  <c r="AG41" i="3" s="1"/>
  <c r="N41" i="3"/>
  <c r="AB40" i="3"/>
  <c r="U40" i="3"/>
  <c r="M40" i="3"/>
  <c r="N40" i="3" s="1"/>
  <c r="U39" i="3"/>
  <c r="Z39" i="3" s="1"/>
  <c r="AD39" i="3" s="1"/>
  <c r="AG39" i="3" s="1"/>
  <c r="N39" i="3"/>
  <c r="U38" i="3"/>
  <c r="Z38" i="3" s="1"/>
  <c r="AD38" i="3" s="1"/>
  <c r="AG38" i="3" s="1"/>
  <c r="N38" i="3"/>
  <c r="U37" i="3"/>
  <c r="Z37" i="3" s="1"/>
  <c r="AD37" i="3" s="1"/>
  <c r="AG37" i="3" s="1"/>
  <c r="N37" i="3"/>
  <c r="U36" i="3"/>
  <c r="Z36" i="3" s="1"/>
  <c r="AD36" i="3" s="1"/>
  <c r="AG36" i="3" s="1"/>
  <c r="N36" i="3"/>
  <c r="U35" i="3"/>
  <c r="Z35" i="3" s="1"/>
  <c r="AD35" i="3" s="1"/>
  <c r="AG35" i="3" s="1"/>
  <c r="N35" i="3"/>
  <c r="U34" i="3"/>
  <c r="Z34" i="3" s="1"/>
  <c r="AD34" i="3" s="1"/>
  <c r="AG34" i="3" s="1"/>
  <c r="N34" i="3"/>
  <c r="U33" i="3"/>
  <c r="Z33" i="3" s="1"/>
  <c r="AD33" i="3" s="1"/>
  <c r="AG33" i="3" s="1"/>
  <c r="N33" i="3"/>
  <c r="U32" i="3"/>
  <c r="Z32" i="3" s="1"/>
  <c r="AD32" i="3" s="1"/>
  <c r="AG32" i="3" s="1"/>
  <c r="N32" i="3"/>
  <c r="W31" i="3"/>
  <c r="U31" i="3"/>
  <c r="P31" i="3"/>
  <c r="M31" i="3"/>
  <c r="N31" i="3" s="1"/>
  <c r="U30" i="3"/>
  <c r="Z30" i="3" s="1"/>
  <c r="AD30" i="3" s="1"/>
  <c r="AG30" i="3" s="1"/>
  <c r="P30" i="3"/>
  <c r="N30" i="3"/>
  <c r="AB29" i="3"/>
  <c r="U29" i="3"/>
  <c r="P29" i="3"/>
  <c r="M29" i="3"/>
  <c r="AE28" i="3"/>
  <c r="AA28" i="3"/>
  <c r="Y28" i="3"/>
  <c r="X28" i="3"/>
  <c r="V28" i="3"/>
  <c r="T28" i="3"/>
  <c r="S28" i="3"/>
  <c r="R28" i="3"/>
  <c r="Q28" i="3"/>
  <c r="O28" i="3"/>
  <c r="L28" i="3"/>
  <c r="J28" i="3"/>
  <c r="I28" i="3"/>
  <c r="H28" i="3"/>
  <c r="G28" i="3"/>
  <c r="F28" i="3"/>
  <c r="E28" i="3"/>
  <c r="D28" i="3"/>
  <c r="U27" i="3"/>
  <c r="Z27" i="3" s="1"/>
  <c r="AD27" i="3" s="1"/>
  <c r="AG27" i="3" s="1"/>
  <c r="P27" i="3"/>
  <c r="P22" i="3" s="1"/>
  <c r="N27" i="3"/>
  <c r="U26" i="3"/>
  <c r="M26" i="3"/>
  <c r="M22" i="3" s="1"/>
  <c r="U25" i="3"/>
  <c r="Z25" i="3" s="1"/>
  <c r="AD25" i="3" s="1"/>
  <c r="AG25" i="3" s="1"/>
  <c r="N25" i="3"/>
  <c r="U24" i="3"/>
  <c r="Z24" i="3" s="1"/>
  <c r="AD24" i="3" s="1"/>
  <c r="AG24" i="3" s="1"/>
  <c r="N24" i="3"/>
  <c r="Z23" i="3"/>
  <c r="AD23" i="3" s="1"/>
  <c r="AG23" i="3" s="1"/>
  <c r="U23" i="3"/>
  <c r="N23" i="3"/>
  <c r="AE22" i="3"/>
  <c r="AB22" i="3"/>
  <c r="AA22" i="3"/>
  <c r="Y22" i="3"/>
  <c r="X22" i="3"/>
  <c r="W22" i="3"/>
  <c r="V22" i="3"/>
  <c r="T22" i="3"/>
  <c r="S22" i="3"/>
  <c r="R22" i="3"/>
  <c r="Q22" i="3"/>
  <c r="O22" i="3"/>
  <c r="L22" i="3"/>
  <c r="J22" i="3"/>
  <c r="I22" i="3"/>
  <c r="H22" i="3"/>
  <c r="G22" i="3"/>
  <c r="F22" i="3"/>
  <c r="E22" i="3"/>
  <c r="D22" i="3"/>
  <c r="C22" i="3"/>
  <c r="U21" i="3"/>
  <c r="Z21" i="3" s="1"/>
  <c r="AD21" i="3" s="1"/>
  <c r="AG21" i="3" s="1"/>
  <c r="N21" i="3"/>
  <c r="U20" i="3"/>
  <c r="Z20" i="3" s="1"/>
  <c r="AD20" i="3" s="1"/>
  <c r="AG20" i="3" s="1"/>
  <c r="N20" i="3"/>
  <c r="U19" i="3"/>
  <c r="Z19" i="3" s="1"/>
  <c r="AD19" i="3" s="1"/>
  <c r="AG19" i="3" s="1"/>
  <c r="N19" i="3"/>
  <c r="U18" i="3"/>
  <c r="Z18" i="3" s="1"/>
  <c r="AD18" i="3" s="1"/>
  <c r="AG18" i="3" s="1"/>
  <c r="N18" i="3"/>
  <c r="AE17" i="3"/>
  <c r="AE8" i="3" s="1"/>
  <c r="AB17" i="3"/>
  <c r="AB8" i="3" s="1"/>
  <c r="U17" i="3"/>
  <c r="M17" i="3"/>
  <c r="M8" i="3" s="1"/>
  <c r="U16" i="3"/>
  <c r="Z16" i="3" s="1"/>
  <c r="AD16" i="3" s="1"/>
  <c r="AG16" i="3" s="1"/>
  <c r="N16" i="3"/>
  <c r="W15" i="3"/>
  <c r="W8" i="3" s="1"/>
  <c r="U15" i="3"/>
  <c r="N15" i="3"/>
  <c r="U14" i="3"/>
  <c r="Z14" i="3" s="1"/>
  <c r="AD14" i="3" s="1"/>
  <c r="AG14" i="3" s="1"/>
  <c r="N14" i="3"/>
  <c r="U13" i="3"/>
  <c r="Z13" i="3" s="1"/>
  <c r="AD13" i="3" s="1"/>
  <c r="AG13" i="3" s="1"/>
  <c r="N13" i="3"/>
  <c r="U12" i="3"/>
  <c r="Z12" i="3" s="1"/>
  <c r="AD12" i="3" s="1"/>
  <c r="AG12" i="3" s="1"/>
  <c r="N12" i="3"/>
  <c r="U11" i="3"/>
  <c r="Z11" i="3" s="1"/>
  <c r="AD11" i="3" s="1"/>
  <c r="AG11" i="3" s="1"/>
  <c r="N11" i="3"/>
  <c r="U10" i="3"/>
  <c r="Z10" i="3" s="1"/>
  <c r="AD10" i="3" s="1"/>
  <c r="AG10" i="3" s="1"/>
  <c r="N10" i="3"/>
  <c r="U9" i="3"/>
  <c r="N9" i="3"/>
  <c r="AA8" i="3"/>
  <c r="Y8" i="3"/>
  <c r="X8" i="3"/>
  <c r="V8" i="3"/>
  <c r="T8" i="3"/>
  <c r="S8" i="3"/>
  <c r="R8" i="3"/>
  <c r="Q8" i="3"/>
  <c r="P8" i="3"/>
  <c r="O8" i="3"/>
  <c r="L8" i="3"/>
  <c r="L7" i="3" s="1"/>
  <c r="J8" i="3"/>
  <c r="I8" i="3"/>
  <c r="H8" i="3"/>
  <c r="G8" i="3"/>
  <c r="F8" i="3"/>
  <c r="E8" i="3"/>
  <c r="D8" i="3"/>
  <c r="C8" i="3"/>
  <c r="M2" i="3"/>
  <c r="U86" i="2"/>
  <c r="Z86" i="2" s="1"/>
  <c r="AD86" i="2" s="1"/>
  <c r="AG86" i="2" s="1"/>
  <c r="U85" i="2"/>
  <c r="Z85" i="2" s="1"/>
  <c r="AD85" i="2" s="1"/>
  <c r="AG85" i="2" s="1"/>
  <c r="AB84" i="2"/>
  <c r="U84" i="2"/>
  <c r="M84" i="2"/>
  <c r="N84" i="2" s="1"/>
  <c r="U83" i="2"/>
  <c r="Z83" i="2" s="1"/>
  <c r="AD83" i="2" s="1"/>
  <c r="AG83" i="2" s="1"/>
  <c r="AB82" i="2"/>
  <c r="U82" i="2"/>
  <c r="M82" i="2"/>
  <c r="N82" i="2" s="1"/>
  <c r="AB81" i="2"/>
  <c r="U81" i="2"/>
  <c r="M81" i="2"/>
  <c r="AB80" i="2"/>
  <c r="U80" i="2"/>
  <c r="M80" i="2"/>
  <c r="AB79" i="2"/>
  <c r="U79" i="2"/>
  <c r="M79" i="2"/>
  <c r="N79" i="2" s="1"/>
  <c r="U78" i="2"/>
  <c r="Z78" i="2" s="1"/>
  <c r="AD78" i="2" s="1"/>
  <c r="AG78" i="2" s="1"/>
  <c r="N78" i="2"/>
  <c r="U77" i="2"/>
  <c r="Z77" i="2" s="1"/>
  <c r="AD77" i="2" s="1"/>
  <c r="AG77" i="2" s="1"/>
  <c r="N77" i="2"/>
  <c r="U76" i="2"/>
  <c r="Z76" i="2" s="1"/>
  <c r="AD76" i="2" s="1"/>
  <c r="AG76" i="2" s="1"/>
  <c r="N76" i="2"/>
  <c r="U75" i="2"/>
  <c r="Z75" i="2" s="1"/>
  <c r="AD75" i="2" s="1"/>
  <c r="AG75" i="2" s="1"/>
  <c r="N75" i="2"/>
  <c r="U74" i="2"/>
  <c r="Z74" i="2" s="1"/>
  <c r="AD74" i="2" s="1"/>
  <c r="AG74" i="2" s="1"/>
  <c r="N74" i="2"/>
  <c r="U73" i="2"/>
  <c r="Z73" i="2" s="1"/>
  <c r="AD73" i="2" s="1"/>
  <c r="AG73" i="2" s="1"/>
  <c r="N73" i="2"/>
  <c r="U72" i="2"/>
  <c r="Z72" i="2" s="1"/>
  <c r="AD72" i="2" s="1"/>
  <c r="AG72" i="2" s="1"/>
  <c r="N72" i="2"/>
  <c r="U71" i="2"/>
  <c r="Z71" i="2" s="1"/>
  <c r="AD71" i="2" s="1"/>
  <c r="AG71" i="2" s="1"/>
  <c r="N71" i="2"/>
  <c r="U70" i="2"/>
  <c r="Z70" i="2" s="1"/>
  <c r="AD70" i="2" s="1"/>
  <c r="AG70" i="2" s="1"/>
  <c r="N70" i="2"/>
  <c r="U69" i="2"/>
  <c r="Z69" i="2" s="1"/>
  <c r="AD69" i="2" s="1"/>
  <c r="AG69" i="2" s="1"/>
  <c r="N69" i="2"/>
  <c r="U68" i="2"/>
  <c r="Z68" i="2" s="1"/>
  <c r="AD68" i="2" s="1"/>
  <c r="AG68" i="2" s="1"/>
  <c r="N68" i="2"/>
  <c r="U67" i="2"/>
  <c r="Z67" i="2" s="1"/>
  <c r="AD67" i="2" s="1"/>
  <c r="AG67" i="2" s="1"/>
  <c r="N67" i="2"/>
  <c r="U66" i="2"/>
  <c r="Z66" i="2" s="1"/>
  <c r="AD66" i="2" s="1"/>
  <c r="AG66" i="2" s="1"/>
  <c r="N66" i="2"/>
  <c r="U65" i="2"/>
  <c r="Z65" i="2" s="1"/>
  <c r="AD65" i="2" s="1"/>
  <c r="AG65" i="2" s="1"/>
  <c r="N65" i="2"/>
  <c r="U64" i="2"/>
  <c r="Z64" i="2" s="1"/>
  <c r="AD64" i="2" s="1"/>
  <c r="AG64" i="2" s="1"/>
  <c r="N64" i="2"/>
  <c r="U63" i="2"/>
  <c r="Z63" i="2" s="1"/>
  <c r="AD63" i="2" s="1"/>
  <c r="AG63" i="2" s="1"/>
  <c r="N63" i="2"/>
  <c r="U62" i="2"/>
  <c r="Z62" i="2" s="1"/>
  <c r="AD62" i="2" s="1"/>
  <c r="AG62" i="2" s="1"/>
  <c r="N62" i="2"/>
  <c r="U61" i="2"/>
  <c r="Z61" i="2" s="1"/>
  <c r="AD61" i="2" s="1"/>
  <c r="AG61" i="2" s="1"/>
  <c r="N61" i="2"/>
  <c r="U60" i="2"/>
  <c r="Z60" i="2" s="1"/>
  <c r="AD60" i="2" s="1"/>
  <c r="AG60" i="2" s="1"/>
  <c r="N60" i="2"/>
  <c r="AE59" i="2"/>
  <c r="AA59" i="2"/>
  <c r="Y59" i="2"/>
  <c r="X59" i="2"/>
  <c r="W59" i="2"/>
  <c r="V59" i="2"/>
  <c r="T59" i="2"/>
  <c r="S59" i="2"/>
  <c r="R59" i="2"/>
  <c r="Q59" i="2"/>
  <c r="P59" i="2"/>
  <c r="O59" i="2"/>
  <c r="K59" i="2"/>
  <c r="J59" i="2"/>
  <c r="I59" i="2"/>
  <c r="H59" i="2"/>
  <c r="G59" i="2"/>
  <c r="F59" i="2"/>
  <c r="E59" i="2"/>
  <c r="D59" i="2"/>
  <c r="C59" i="2"/>
  <c r="U58" i="2"/>
  <c r="M58" i="2"/>
  <c r="AB57" i="2"/>
  <c r="U57" i="2"/>
  <c r="M57" i="2"/>
  <c r="U56" i="2"/>
  <c r="Z56" i="2" s="1"/>
  <c r="AD56" i="2" s="1"/>
  <c r="AG56" i="2" s="1"/>
  <c r="N56" i="2"/>
  <c r="U55" i="2"/>
  <c r="Z55" i="2" s="1"/>
  <c r="AD55" i="2" s="1"/>
  <c r="AG55" i="2" s="1"/>
  <c r="N55" i="2"/>
  <c r="AB54" i="2"/>
  <c r="U54" i="2"/>
  <c r="M54" i="2"/>
  <c r="U53" i="2"/>
  <c r="Z53" i="2" s="1"/>
  <c r="AD53" i="2" s="1"/>
  <c r="AG53" i="2" s="1"/>
  <c r="N53" i="2"/>
  <c r="U52" i="2"/>
  <c r="Z52" i="2" s="1"/>
  <c r="AD52" i="2" s="1"/>
  <c r="AG52" i="2" s="1"/>
  <c r="N52" i="2"/>
  <c r="U51" i="2"/>
  <c r="Z51" i="2" s="1"/>
  <c r="AD51" i="2" s="1"/>
  <c r="AG51" i="2" s="1"/>
  <c r="N51" i="2"/>
  <c r="U50" i="2"/>
  <c r="Z50" i="2" s="1"/>
  <c r="AD50" i="2" s="1"/>
  <c r="AG50" i="2" s="1"/>
  <c r="N50" i="2"/>
  <c r="AB49" i="2"/>
  <c r="U49" i="2"/>
  <c r="M49" i="2"/>
  <c r="N49" i="2" s="1"/>
  <c r="U48" i="2"/>
  <c r="Z48" i="2" s="1"/>
  <c r="AD48" i="2" s="1"/>
  <c r="AG48" i="2" s="1"/>
  <c r="N48" i="2"/>
  <c r="AB47" i="2"/>
  <c r="U47" i="2"/>
  <c r="M47" i="2"/>
  <c r="N47" i="2" s="1"/>
  <c r="U46" i="2"/>
  <c r="Z46" i="2" s="1"/>
  <c r="AD46" i="2" s="1"/>
  <c r="AG46" i="2" s="1"/>
  <c r="N46" i="2"/>
  <c r="AB45" i="2"/>
  <c r="U45" i="2"/>
  <c r="Z45" i="2" s="1"/>
  <c r="N45" i="2"/>
  <c r="AE44" i="2"/>
  <c r="AA44" i="2"/>
  <c r="Y44" i="2"/>
  <c r="X44" i="2"/>
  <c r="W44" i="2"/>
  <c r="V44" i="2"/>
  <c r="T44" i="2"/>
  <c r="S44" i="2"/>
  <c r="S43" i="2" s="1"/>
  <c r="R44" i="2"/>
  <c r="Q44" i="2"/>
  <c r="P44" i="2"/>
  <c r="O44" i="2"/>
  <c r="K44" i="2"/>
  <c r="J44" i="2"/>
  <c r="I44" i="2"/>
  <c r="I43" i="2" s="1"/>
  <c r="H44" i="2"/>
  <c r="H43" i="2" s="1"/>
  <c r="G44" i="2"/>
  <c r="F44" i="2"/>
  <c r="E44" i="2"/>
  <c r="D44" i="2"/>
  <c r="C44" i="2"/>
  <c r="AB42" i="2"/>
  <c r="U42" i="2"/>
  <c r="M42" i="2"/>
  <c r="AB41" i="2"/>
  <c r="U41" i="2"/>
  <c r="M41" i="2"/>
  <c r="U40" i="2"/>
  <c r="M40" i="2"/>
  <c r="N40" i="2" s="1"/>
  <c r="U39" i="2"/>
  <c r="M39" i="2"/>
  <c r="N39" i="2" s="1"/>
  <c r="AB38" i="2"/>
  <c r="U38" i="2"/>
  <c r="M38" i="2"/>
  <c r="N38" i="2" s="1"/>
  <c r="U37" i="2"/>
  <c r="Z37" i="2" s="1"/>
  <c r="AD37" i="2" s="1"/>
  <c r="AG37" i="2" s="1"/>
  <c r="N37" i="2"/>
  <c r="AB36" i="2"/>
  <c r="W36" i="2"/>
  <c r="W28" i="2" s="1"/>
  <c r="U36" i="2"/>
  <c r="M36" i="2"/>
  <c r="U35" i="2"/>
  <c r="Z35" i="2" s="1"/>
  <c r="AD35" i="2" s="1"/>
  <c r="AG35" i="2" s="1"/>
  <c r="N35" i="2"/>
  <c r="U34" i="2"/>
  <c r="Z34" i="2" s="1"/>
  <c r="AD34" i="2" s="1"/>
  <c r="AG34" i="2" s="1"/>
  <c r="N34" i="2"/>
  <c r="U33" i="2"/>
  <c r="Z33" i="2" s="1"/>
  <c r="AD33" i="2" s="1"/>
  <c r="AG33" i="2" s="1"/>
  <c r="N33" i="2"/>
  <c r="U32" i="2"/>
  <c r="Z32" i="2" s="1"/>
  <c r="AD32" i="2" s="1"/>
  <c r="AG32" i="2" s="1"/>
  <c r="N32" i="2"/>
  <c r="U31" i="2"/>
  <c r="Z31" i="2" s="1"/>
  <c r="AD31" i="2" s="1"/>
  <c r="AG31" i="2" s="1"/>
  <c r="N31" i="2"/>
  <c r="U30" i="2"/>
  <c r="Z30" i="2" s="1"/>
  <c r="AD30" i="2" s="1"/>
  <c r="AG30" i="2" s="1"/>
  <c r="N30" i="2"/>
  <c r="AB29" i="2"/>
  <c r="U29" i="2"/>
  <c r="Z29" i="2" s="1"/>
  <c r="AD29" i="2" s="1"/>
  <c r="AG29" i="2" s="1"/>
  <c r="N29" i="2"/>
  <c r="AE28" i="2"/>
  <c r="AA28" i="2"/>
  <c r="Y28" i="2"/>
  <c r="X28" i="2"/>
  <c r="V28" i="2"/>
  <c r="T28" i="2"/>
  <c r="S28" i="2"/>
  <c r="R28" i="2"/>
  <c r="Q28" i="2"/>
  <c r="P28" i="2"/>
  <c r="O28" i="2"/>
  <c r="K28" i="2"/>
  <c r="J28" i="2"/>
  <c r="I28" i="2"/>
  <c r="H28" i="2"/>
  <c r="G28" i="2"/>
  <c r="F28" i="2"/>
  <c r="E28" i="2"/>
  <c r="D28" i="2"/>
  <c r="C28" i="2"/>
  <c r="U27" i="2"/>
  <c r="Z27" i="2" s="1"/>
  <c r="AD27" i="2" s="1"/>
  <c r="AG27" i="2" s="1"/>
  <c r="N27" i="2"/>
  <c r="U26" i="2"/>
  <c r="Z26" i="2" s="1"/>
  <c r="AD26" i="2" s="1"/>
  <c r="AG26" i="2" s="1"/>
  <c r="N26" i="2"/>
  <c r="U25" i="2"/>
  <c r="Z25" i="2" s="1"/>
  <c r="AD25" i="2" s="1"/>
  <c r="AG25" i="2" s="1"/>
  <c r="N25" i="2"/>
  <c r="U24" i="2"/>
  <c r="Z24" i="2" s="1"/>
  <c r="AD24" i="2" s="1"/>
  <c r="AG24" i="2" s="1"/>
  <c r="N24" i="2"/>
  <c r="U23" i="2"/>
  <c r="Z23" i="2" s="1"/>
  <c r="AD23" i="2" s="1"/>
  <c r="AG23" i="2" s="1"/>
  <c r="D23" i="2"/>
  <c r="N23" i="2" s="1"/>
  <c r="U22" i="2"/>
  <c r="Z22" i="2" s="1"/>
  <c r="AD22" i="2" s="1"/>
  <c r="AG22" i="2" s="1"/>
  <c r="N22" i="2"/>
  <c r="U21" i="2"/>
  <c r="Z21" i="2" s="1"/>
  <c r="AD21" i="2" s="1"/>
  <c r="AG21" i="2" s="1"/>
  <c r="N21" i="2"/>
  <c r="U20" i="2"/>
  <c r="Z20" i="2" s="1"/>
  <c r="AD20" i="2" s="1"/>
  <c r="AG20" i="2" s="1"/>
  <c r="N20" i="2"/>
  <c r="U19" i="2"/>
  <c r="Z19" i="2" s="1"/>
  <c r="AD19" i="2" s="1"/>
  <c r="AG19" i="2" s="1"/>
  <c r="N19" i="2"/>
  <c r="U18" i="2"/>
  <c r="Z18" i="2" s="1"/>
  <c r="AD18" i="2" s="1"/>
  <c r="AG18" i="2" s="1"/>
  <c r="N18" i="2"/>
  <c r="U17" i="2"/>
  <c r="Z17" i="2" s="1"/>
  <c r="AD17" i="2" s="1"/>
  <c r="AG17" i="2" s="1"/>
  <c r="N17" i="2"/>
  <c r="U16" i="2"/>
  <c r="Z16" i="2" s="1"/>
  <c r="AD16" i="2" s="1"/>
  <c r="AG16" i="2" s="1"/>
  <c r="N16" i="2"/>
  <c r="U15" i="2"/>
  <c r="N15" i="2"/>
  <c r="U14" i="2"/>
  <c r="Z14" i="2" s="1"/>
  <c r="AD14" i="2" s="1"/>
  <c r="AG14" i="2" s="1"/>
  <c r="N14" i="2"/>
  <c r="U13" i="2"/>
  <c r="Z13" i="2" s="1"/>
  <c r="AD13" i="2" s="1"/>
  <c r="AG13" i="2" s="1"/>
  <c r="N13" i="2"/>
  <c r="U12" i="2"/>
  <c r="Z12" i="2" s="1"/>
  <c r="AD12" i="2" s="1"/>
  <c r="AG12" i="2" s="1"/>
  <c r="N12" i="2"/>
  <c r="U11" i="2"/>
  <c r="Z11" i="2" s="1"/>
  <c r="AD11" i="2" s="1"/>
  <c r="AG11" i="2" s="1"/>
  <c r="N11" i="2"/>
  <c r="U10" i="2"/>
  <c r="Z10" i="2" s="1"/>
  <c r="N10" i="2"/>
  <c r="AE8" i="2"/>
  <c r="AE7" i="2" s="1"/>
  <c r="AB8" i="2"/>
  <c r="AA8" i="2"/>
  <c r="AA7" i="2" s="1"/>
  <c r="Y8" i="2"/>
  <c r="X8" i="2"/>
  <c r="W8" i="2"/>
  <c r="V8" i="2"/>
  <c r="T8" i="2"/>
  <c r="S8" i="2"/>
  <c r="R8" i="2"/>
  <c r="R7" i="2" s="1"/>
  <c r="Q8" i="2"/>
  <c r="P8" i="2"/>
  <c r="O8" i="2"/>
  <c r="M8" i="2"/>
  <c r="K8" i="2"/>
  <c r="J8" i="2"/>
  <c r="I8" i="2"/>
  <c r="H8" i="2"/>
  <c r="G8" i="2"/>
  <c r="F8" i="2"/>
  <c r="E8" i="2"/>
  <c r="D8" i="2"/>
  <c r="C8" i="2"/>
  <c r="M2" i="2"/>
  <c r="F82" i="4" l="1"/>
  <c r="T82" i="4"/>
  <c r="AF37" i="4"/>
  <c r="AA37" i="4"/>
  <c r="X7" i="4"/>
  <c r="O7" i="4"/>
  <c r="AB29" i="4"/>
  <c r="AA7" i="4"/>
  <c r="AD66" i="4"/>
  <c r="M8" i="4"/>
  <c r="Z19" i="4"/>
  <c r="AD19" i="4" s="1"/>
  <c r="AG19" i="4" s="1"/>
  <c r="N26" i="4"/>
  <c r="G82" i="4"/>
  <c r="Q82" i="4"/>
  <c r="AA82" i="4"/>
  <c r="J7" i="4"/>
  <c r="M93" i="4"/>
  <c r="N93" i="4" s="1"/>
  <c r="L7" i="4"/>
  <c r="Z34" i="4"/>
  <c r="J37" i="4"/>
  <c r="S37" i="4"/>
  <c r="AB93" i="4"/>
  <c r="AB82" i="4" s="1"/>
  <c r="P7" i="4"/>
  <c r="Y7" i="4"/>
  <c r="L37" i="4"/>
  <c r="Z48" i="4"/>
  <c r="AD48" i="4" s="1"/>
  <c r="AG48" i="4" s="1"/>
  <c r="Z56" i="4"/>
  <c r="C6" i="4"/>
  <c r="N65" i="4"/>
  <c r="N37" i="4" s="1"/>
  <c r="D7" i="4"/>
  <c r="P37" i="4"/>
  <c r="I82" i="4"/>
  <c r="S82" i="4"/>
  <c r="E7" i="4"/>
  <c r="AE7" i="4"/>
  <c r="G37" i="4"/>
  <c r="X37" i="4"/>
  <c r="X6" i="4" s="1"/>
  <c r="Z77" i="4"/>
  <c r="J82" i="4"/>
  <c r="G7" i="4"/>
  <c r="S7" i="4"/>
  <c r="R37" i="4"/>
  <c r="U93" i="4"/>
  <c r="H7" i="4"/>
  <c r="T7" i="4"/>
  <c r="T6" i="4" s="1"/>
  <c r="I37" i="4"/>
  <c r="Z57" i="4"/>
  <c r="AD57" i="4" s="1"/>
  <c r="AG57" i="4" s="1"/>
  <c r="D82" i="4"/>
  <c r="M82" i="4"/>
  <c r="N8" i="4"/>
  <c r="E37" i="4"/>
  <c r="V7" i="4"/>
  <c r="I7" i="4"/>
  <c r="Z35" i="4"/>
  <c r="AD35" i="4" s="1"/>
  <c r="AG35" i="4" s="1"/>
  <c r="F38" i="4"/>
  <c r="F37" i="4" s="1"/>
  <c r="AD56" i="4"/>
  <c r="AG56" i="4" s="1"/>
  <c r="Y37" i="4"/>
  <c r="Y6" i="4" s="1"/>
  <c r="H82" i="4"/>
  <c r="AE82" i="4"/>
  <c r="W7" i="4"/>
  <c r="U29" i="4"/>
  <c r="Z47" i="4"/>
  <c r="AD47" i="4" s="1"/>
  <c r="AG47" i="4" s="1"/>
  <c r="Z54" i="4"/>
  <c r="AD54" i="4" s="1"/>
  <c r="AG54" i="4" s="1"/>
  <c r="H37" i="4"/>
  <c r="Q37" i="4"/>
  <c r="U65" i="4"/>
  <c r="Z53" i="4"/>
  <c r="AD53" i="4" s="1"/>
  <c r="AG53" i="4" s="1"/>
  <c r="U8" i="4"/>
  <c r="AB8" i="4"/>
  <c r="Z17" i="4"/>
  <c r="AD17" i="4" s="1"/>
  <c r="AG17" i="4" s="1"/>
  <c r="U26" i="4"/>
  <c r="Z44" i="4"/>
  <c r="AD44" i="4" s="1"/>
  <c r="AG44" i="4" s="1"/>
  <c r="Z58" i="4"/>
  <c r="AD58" i="4" s="1"/>
  <c r="AG58" i="4" s="1"/>
  <c r="N83" i="4"/>
  <c r="N82" i="4" s="1"/>
  <c r="AD96" i="4"/>
  <c r="AG96" i="4" s="1"/>
  <c r="Z99" i="4"/>
  <c r="AD99" i="4" s="1"/>
  <c r="AG99" i="4" s="1"/>
  <c r="F7" i="4"/>
  <c r="R7" i="4"/>
  <c r="P6" i="4"/>
  <c r="AD34" i="4"/>
  <c r="AG34" i="4" s="1"/>
  <c r="V37" i="4"/>
  <c r="W38" i="4"/>
  <c r="U83" i="4"/>
  <c r="V82" i="4"/>
  <c r="D37" i="4"/>
  <c r="Z51" i="4"/>
  <c r="AD51" i="4" s="1"/>
  <c r="AG51" i="4" s="1"/>
  <c r="Q7" i="4"/>
  <c r="Z10" i="4"/>
  <c r="AD10" i="4" s="1"/>
  <c r="AG10" i="4" s="1"/>
  <c r="Z22" i="4"/>
  <c r="AD22" i="4" s="1"/>
  <c r="AG22" i="4" s="1"/>
  <c r="Z31" i="4"/>
  <c r="AD31" i="4" s="1"/>
  <c r="AG31" i="4" s="1"/>
  <c r="AB38" i="4"/>
  <c r="AB37" i="4" s="1"/>
  <c r="Z55" i="4"/>
  <c r="AD55" i="4" s="1"/>
  <c r="AG55" i="4" s="1"/>
  <c r="U75" i="4"/>
  <c r="Z84" i="4"/>
  <c r="Z83" i="4" s="1"/>
  <c r="E82" i="4"/>
  <c r="Z50" i="3"/>
  <c r="AD50" i="3" s="1"/>
  <c r="AG50" i="3" s="1"/>
  <c r="Z73" i="3"/>
  <c r="AD73" i="3" s="1"/>
  <c r="AG73" i="3" s="1"/>
  <c r="Z48" i="3"/>
  <c r="AD48" i="3" s="1"/>
  <c r="AG48" i="3" s="1"/>
  <c r="M28" i="3"/>
  <c r="W46" i="3"/>
  <c r="Z85" i="3"/>
  <c r="AD85" i="3" s="1"/>
  <c r="AG85" i="3" s="1"/>
  <c r="M46" i="3"/>
  <c r="AD81" i="3"/>
  <c r="AG81" i="3" s="1"/>
  <c r="U46" i="3"/>
  <c r="T7" i="3"/>
  <c r="D7" i="3"/>
  <c r="D6" i="3" s="1"/>
  <c r="Z87" i="3"/>
  <c r="AD87" i="3" s="1"/>
  <c r="AG87" i="3" s="1"/>
  <c r="Z74" i="3"/>
  <c r="AD74" i="3" s="1"/>
  <c r="AG74" i="3" s="1"/>
  <c r="P72" i="3"/>
  <c r="P71" i="3" s="1"/>
  <c r="O7" i="3"/>
  <c r="O6" i="3" s="1"/>
  <c r="T6" i="3"/>
  <c r="P28" i="3"/>
  <c r="U72" i="3"/>
  <c r="X7" i="3"/>
  <c r="X6" i="3" s="1"/>
  <c r="N63" i="3"/>
  <c r="Z86" i="3"/>
  <c r="AD86" i="3" s="1"/>
  <c r="AG86" i="3" s="1"/>
  <c r="C7" i="3"/>
  <c r="C6" i="3" s="1"/>
  <c r="N74" i="3"/>
  <c r="Y7" i="3"/>
  <c r="Y6" i="3" s="1"/>
  <c r="F7" i="3"/>
  <c r="F6" i="3" s="1"/>
  <c r="U22" i="3"/>
  <c r="Z22" i="3" s="1"/>
  <c r="AD22" i="3" s="1"/>
  <c r="AG22" i="3" s="1"/>
  <c r="AB28" i="3"/>
  <c r="AB7" i="3" s="1"/>
  <c r="Z31" i="3"/>
  <c r="AD31" i="3" s="1"/>
  <c r="AG31" i="3" s="1"/>
  <c r="Z42" i="3"/>
  <c r="AD42" i="3" s="1"/>
  <c r="AG42" i="3" s="1"/>
  <c r="Z44" i="3"/>
  <c r="AD44" i="3" s="1"/>
  <c r="AG44" i="3" s="1"/>
  <c r="Z49" i="3"/>
  <c r="AD49" i="3" s="1"/>
  <c r="AG49" i="3" s="1"/>
  <c r="Z51" i="3"/>
  <c r="AD51" i="3" s="1"/>
  <c r="AG51" i="3" s="1"/>
  <c r="M72" i="3"/>
  <c r="M71" i="3" s="1"/>
  <c r="Z82" i="3"/>
  <c r="AD82" i="3" s="1"/>
  <c r="AG82" i="3" s="1"/>
  <c r="U63" i="3"/>
  <c r="Z63" i="3" s="1"/>
  <c r="AD63" i="3" s="1"/>
  <c r="AG63" i="3" s="1"/>
  <c r="AE7" i="3"/>
  <c r="AE6" i="3" s="1"/>
  <c r="R7" i="3"/>
  <c r="R6" i="3" s="1"/>
  <c r="Z40" i="3"/>
  <c r="AD40" i="3" s="1"/>
  <c r="AG40" i="3" s="1"/>
  <c r="Z46" i="3"/>
  <c r="AD46" i="3" s="1"/>
  <c r="AG46" i="3" s="1"/>
  <c r="S7" i="3"/>
  <c r="S6" i="3" s="1"/>
  <c r="Q7" i="3"/>
  <c r="Q6" i="3" s="1"/>
  <c r="W28" i="3"/>
  <c r="J7" i="3"/>
  <c r="J6" i="3" s="1"/>
  <c r="Z47" i="3"/>
  <c r="AD47" i="3" s="1"/>
  <c r="AG47" i="3" s="1"/>
  <c r="N86" i="3"/>
  <c r="E7" i="3"/>
  <c r="E6" i="3" s="1"/>
  <c r="G7" i="3"/>
  <c r="G6" i="3" s="1"/>
  <c r="U8" i="3"/>
  <c r="I7" i="3"/>
  <c r="I6" i="3" s="1"/>
  <c r="H7" i="3"/>
  <c r="H6" i="3" s="1"/>
  <c r="V7" i="3"/>
  <c r="V6" i="3" s="1"/>
  <c r="U28" i="3"/>
  <c r="Z28" i="3" s="1"/>
  <c r="AD28" i="3" s="1"/>
  <c r="AG28" i="3" s="1"/>
  <c r="AA7" i="3"/>
  <c r="AA6" i="3" s="1"/>
  <c r="P46" i="3"/>
  <c r="AA43" i="2"/>
  <c r="E43" i="2"/>
  <c r="P43" i="2"/>
  <c r="Y43" i="2"/>
  <c r="H7" i="2"/>
  <c r="S7" i="2"/>
  <c r="Z42" i="2"/>
  <c r="AD42" i="2" s="1"/>
  <c r="AG42" i="2" s="1"/>
  <c r="J43" i="2"/>
  <c r="J6" i="2" s="1"/>
  <c r="V43" i="2"/>
  <c r="T43" i="2"/>
  <c r="F43" i="2"/>
  <c r="H6" i="2"/>
  <c r="J7" i="2"/>
  <c r="V7" i="2"/>
  <c r="V6" i="2" s="1"/>
  <c r="K7" i="2"/>
  <c r="Y7" i="2"/>
  <c r="Y6" i="2" s="1"/>
  <c r="Z81" i="2"/>
  <c r="AD81" i="2" s="1"/>
  <c r="AG81" i="2" s="1"/>
  <c r="E7" i="2"/>
  <c r="E6" i="2" s="1"/>
  <c r="Z36" i="2"/>
  <c r="AD36" i="2" s="1"/>
  <c r="AG36" i="2" s="1"/>
  <c r="G43" i="2"/>
  <c r="R43" i="2"/>
  <c r="AE43" i="2"/>
  <c r="AE6" i="2" s="1"/>
  <c r="C43" i="2"/>
  <c r="K43" i="2"/>
  <c r="W43" i="2"/>
  <c r="Z40" i="2"/>
  <c r="AD40" i="2" s="1"/>
  <c r="AG40" i="2" s="1"/>
  <c r="Q7" i="2"/>
  <c r="Z38" i="2"/>
  <c r="AD38" i="2" s="1"/>
  <c r="AG38" i="2" s="1"/>
  <c r="Z79" i="2"/>
  <c r="W7" i="2"/>
  <c r="C7" i="2"/>
  <c r="C6" i="2" s="1"/>
  <c r="AB59" i="2"/>
  <c r="T7" i="2"/>
  <c r="T6" i="2" s="1"/>
  <c r="F7" i="2"/>
  <c r="F6" i="2" s="1"/>
  <c r="P7" i="2"/>
  <c r="P6" i="2" s="1"/>
  <c r="AB28" i="2"/>
  <c r="Z39" i="2"/>
  <c r="AD39" i="2" s="1"/>
  <c r="AG39" i="2" s="1"/>
  <c r="U59" i="2"/>
  <c r="S6" i="2"/>
  <c r="D43" i="2"/>
  <c r="X43" i="2"/>
  <c r="G7" i="2"/>
  <c r="Z47" i="2"/>
  <c r="AD47" i="2" s="1"/>
  <c r="AG47" i="2" s="1"/>
  <c r="Z57" i="2"/>
  <c r="Z41" i="2"/>
  <c r="AD41" i="2" s="1"/>
  <c r="AG41" i="2" s="1"/>
  <c r="AA6" i="2"/>
  <c r="I7" i="2"/>
  <c r="I6" i="2" s="1"/>
  <c r="Z58" i="2"/>
  <c r="AD58" i="2" s="1"/>
  <c r="AG58" i="2" s="1"/>
  <c r="U8" i="2"/>
  <c r="O43" i="2"/>
  <c r="AD57" i="2"/>
  <c r="AG57" i="2" s="1"/>
  <c r="M59" i="2"/>
  <c r="Z59" i="2" s="1"/>
  <c r="N8" i="2"/>
  <c r="U28" i="2"/>
  <c r="Z54" i="2"/>
  <c r="AD54" i="2" s="1"/>
  <c r="AG54" i="2" s="1"/>
  <c r="N57" i="2"/>
  <c r="Z82" i="2"/>
  <c r="AD82" i="2" s="1"/>
  <c r="AG82" i="2" s="1"/>
  <c r="U44" i="2"/>
  <c r="R6" i="2"/>
  <c r="D7" i="2"/>
  <c r="O7" i="2"/>
  <c r="X7" i="2"/>
  <c r="Z49" i="2"/>
  <c r="AD49" i="2" s="1"/>
  <c r="AG49" i="2" s="1"/>
  <c r="N81" i="2"/>
  <c r="AB7" i="2"/>
  <c r="AB44" i="2"/>
  <c r="AD45" i="2"/>
  <c r="AG45" i="2" s="1"/>
  <c r="AD79" i="2"/>
  <c r="AG79" i="2" s="1"/>
  <c r="Z84" i="2"/>
  <c r="AD84" i="2" s="1"/>
  <c r="AG84" i="2" s="1"/>
  <c r="F10" i="5"/>
  <c r="F12" i="5" s="1"/>
  <c r="N10" i="5"/>
  <c r="V10" i="5"/>
  <c r="AE10" i="5"/>
  <c r="AG11" i="5" s="1"/>
  <c r="H10" i="5"/>
  <c r="P10" i="5"/>
  <c r="P12" i="5" s="1"/>
  <c r="X10" i="5"/>
  <c r="X12" i="5" s="1"/>
  <c r="G10" i="5"/>
  <c r="O10" i="5"/>
  <c r="O12" i="5" s="1"/>
  <c r="W10" i="5"/>
  <c r="W12" i="5" s="1"/>
  <c r="AG10" i="5"/>
  <c r="I10" i="5"/>
  <c r="Q10" i="5"/>
  <c r="Q12" i="5" s="1"/>
  <c r="Y10" i="5"/>
  <c r="Y12" i="5" s="1"/>
  <c r="C23" i="5"/>
  <c r="C24" i="5" s="1"/>
  <c r="AA10" i="5"/>
  <c r="T12" i="5"/>
  <c r="C10" i="5"/>
  <c r="C12" i="5" s="1"/>
  <c r="K10" i="5"/>
  <c r="S10" i="5"/>
  <c r="J36" i="6"/>
  <c r="C103" i="6"/>
  <c r="C97" i="6" s="1"/>
  <c r="G92" i="6"/>
  <c r="F97" i="6"/>
  <c r="C11" i="6"/>
  <c r="C116" i="6" s="1"/>
  <c r="D13" i="6"/>
  <c r="C127" i="6"/>
  <c r="S12" i="5"/>
  <c r="M29" i="5"/>
  <c r="M12" i="5"/>
  <c r="I29" i="5"/>
  <c r="M25" i="5"/>
  <c r="V12" i="5"/>
  <c r="AG66" i="4"/>
  <c r="AB7" i="4"/>
  <c r="AD94" i="4"/>
  <c r="Z93" i="4"/>
  <c r="Z82" i="4" s="1"/>
  <c r="AD77" i="4"/>
  <c r="Z75" i="4"/>
  <c r="AG39" i="4"/>
  <c r="Z40" i="4"/>
  <c r="Z70" i="4"/>
  <c r="AD70" i="4" s="1"/>
  <c r="AG70" i="4" s="1"/>
  <c r="AD84" i="4"/>
  <c r="Z18" i="4"/>
  <c r="AD18" i="4" s="1"/>
  <c r="AG18" i="4" s="1"/>
  <c r="Z26" i="4"/>
  <c r="AD26" i="4" s="1"/>
  <c r="AG26" i="4" s="1"/>
  <c r="Z30" i="4"/>
  <c r="N33" i="4"/>
  <c r="N29" i="4" s="1"/>
  <c r="O38" i="4"/>
  <c r="O37" i="4" s="1"/>
  <c r="O6" i="4" s="1"/>
  <c r="U64" i="4"/>
  <c r="Z64" i="4" s="1"/>
  <c r="AD64" i="4" s="1"/>
  <c r="AG64" i="4" s="1"/>
  <c r="W75" i="4"/>
  <c r="Z9" i="4"/>
  <c r="M29" i="4"/>
  <c r="Z65" i="4"/>
  <c r="L6" i="3"/>
  <c r="M7" i="3"/>
  <c r="U71" i="3"/>
  <c r="N29" i="3"/>
  <c r="N28" i="3" s="1"/>
  <c r="N51" i="3"/>
  <c r="N46" i="3" s="1"/>
  <c r="AB72" i="3"/>
  <c r="AB71" i="3" s="1"/>
  <c r="Z9" i="3"/>
  <c r="N17" i="3"/>
  <c r="N8" i="3" s="1"/>
  <c r="Z15" i="3"/>
  <c r="AD15" i="3" s="1"/>
  <c r="AG15" i="3" s="1"/>
  <c r="N26" i="3"/>
  <c r="N22" i="3" s="1"/>
  <c r="Z26" i="3"/>
  <c r="AD26" i="3" s="1"/>
  <c r="AG26" i="3" s="1"/>
  <c r="Z17" i="3"/>
  <c r="AD17" i="3" s="1"/>
  <c r="AG17" i="3" s="1"/>
  <c r="Z29" i="3"/>
  <c r="AD29" i="3" s="1"/>
  <c r="AG29" i="3" s="1"/>
  <c r="AD10" i="2"/>
  <c r="AG10" i="2" s="1"/>
  <c r="Z15" i="2"/>
  <c r="AD15" i="2" s="1"/>
  <c r="AG15" i="2" s="1"/>
  <c r="M28" i="2"/>
  <c r="N36" i="2"/>
  <c r="N41" i="2"/>
  <c r="N54" i="2"/>
  <c r="N58" i="2"/>
  <c r="N80" i="2"/>
  <c r="N42" i="2"/>
  <c r="Q43" i="2"/>
  <c r="M44" i="2"/>
  <c r="Z80" i="2"/>
  <c r="AD80" i="2" s="1"/>
  <c r="AG80" i="2" s="1"/>
  <c r="AA6" i="4" l="1"/>
  <c r="AE6" i="4"/>
  <c r="H6" i="4"/>
  <c r="R6" i="4"/>
  <c r="E6" i="4"/>
  <c r="M7" i="4"/>
  <c r="I6" i="4"/>
  <c r="S6" i="4"/>
  <c r="L6" i="4"/>
  <c r="Q6" i="4"/>
  <c r="U82" i="4"/>
  <c r="U7" i="4"/>
  <c r="D6" i="4"/>
  <c r="G6" i="4"/>
  <c r="N7" i="4"/>
  <c r="N6" i="4" s="1"/>
  <c r="J6" i="4"/>
  <c r="AB6" i="4"/>
  <c r="M6" i="4"/>
  <c r="O2" i="4" s="1"/>
  <c r="F6" i="4"/>
  <c r="V6" i="4"/>
  <c r="W37" i="4"/>
  <c r="W6" i="4" s="1"/>
  <c r="W7" i="3"/>
  <c r="W6" i="3" s="1"/>
  <c r="Z71" i="3"/>
  <c r="P7" i="3"/>
  <c r="P6" i="3" s="1"/>
  <c r="Z72" i="3"/>
  <c r="AD72" i="3" s="1"/>
  <c r="AG72" i="3" s="1"/>
  <c r="U7" i="3"/>
  <c r="U6" i="3" s="1"/>
  <c r="N7" i="3"/>
  <c r="AB6" i="3"/>
  <c r="N72" i="3"/>
  <c r="N71" i="3" s="1"/>
  <c r="K6" i="2"/>
  <c r="N59" i="2"/>
  <c r="AB43" i="2"/>
  <c r="AB6" i="2" s="1"/>
  <c r="G6" i="2"/>
  <c r="U43" i="2"/>
  <c r="W6" i="2"/>
  <c r="D6" i="2"/>
  <c r="X6" i="2"/>
  <c r="AD59" i="2"/>
  <c r="AG59" i="2" s="1"/>
  <c r="O6" i="2"/>
  <c r="U7" i="2"/>
  <c r="H23" i="5"/>
  <c r="C126" i="6"/>
  <c r="D116" i="6"/>
  <c r="D12" i="6"/>
  <c r="AD9" i="4"/>
  <c r="Z8" i="4"/>
  <c r="AD83" i="4"/>
  <c r="AG84" i="4"/>
  <c r="AG83" i="4" s="1"/>
  <c r="AD75" i="4"/>
  <c r="AG77" i="4"/>
  <c r="AG75" i="4" s="1"/>
  <c r="Z38" i="4"/>
  <c r="Z37" i="4" s="1"/>
  <c r="AD40" i="4"/>
  <c r="U38" i="4"/>
  <c r="U37" i="4" s="1"/>
  <c r="AD93" i="4"/>
  <c r="AG94" i="4"/>
  <c r="AG93" i="4" s="1"/>
  <c r="AD30" i="4"/>
  <c r="Z29" i="4"/>
  <c r="AG65" i="4"/>
  <c r="AD65" i="4"/>
  <c r="AD9" i="3"/>
  <c r="Z8" i="3"/>
  <c r="Z7" i="3" s="1"/>
  <c r="Z6" i="3" s="1"/>
  <c r="M6" i="3"/>
  <c r="O2" i="3" s="1"/>
  <c r="AD71" i="3"/>
  <c r="AG71" i="3" s="1"/>
  <c r="Z28" i="2"/>
  <c r="AD28" i="2" s="1"/>
  <c r="AG28" i="2" s="1"/>
  <c r="N28" i="2"/>
  <c r="N7" i="2" s="1"/>
  <c r="M43" i="2"/>
  <c r="N44" i="2"/>
  <c r="Z44" i="2"/>
  <c r="AD44" i="2" s="1"/>
  <c r="AG44" i="2" s="1"/>
  <c r="Z8" i="2"/>
  <c r="M7" i="2"/>
  <c r="Q6" i="2"/>
  <c r="U6" i="4" l="1"/>
  <c r="AG82" i="4"/>
  <c r="Z7" i="4"/>
  <c r="Z6" i="4" s="1"/>
  <c r="Z9" i="5" s="1"/>
  <c r="N6" i="3"/>
  <c r="U6" i="2"/>
  <c r="D117" i="6"/>
  <c r="M117" i="6" s="1"/>
  <c r="D11" i="6"/>
  <c r="AG40" i="4"/>
  <c r="AG38" i="4" s="1"/>
  <c r="AG37" i="4" s="1"/>
  <c r="AD38" i="4"/>
  <c r="AD37" i="4" s="1"/>
  <c r="AG30" i="4"/>
  <c r="AG29" i="4" s="1"/>
  <c r="AD29" i="4"/>
  <c r="AG9" i="4"/>
  <c r="AG8" i="4" s="1"/>
  <c r="AD8" i="4"/>
  <c r="AD82" i="4"/>
  <c r="AD8" i="3"/>
  <c r="AD7" i="3" s="1"/>
  <c r="AD6" i="3" s="1"/>
  <c r="AG9" i="3"/>
  <c r="AG8" i="3" s="1"/>
  <c r="AG7" i="3" s="1"/>
  <c r="AG6" i="3" s="1"/>
  <c r="Z43" i="2"/>
  <c r="AD43" i="2" s="1"/>
  <c r="AG43" i="2" s="1"/>
  <c r="N43" i="2"/>
  <c r="N6" i="2" s="1"/>
  <c r="M6" i="2"/>
  <c r="O2" i="2" s="1"/>
  <c r="Z7" i="2"/>
  <c r="AD8" i="2"/>
  <c r="AG8" i="2" s="1"/>
  <c r="AD7" i="4" l="1"/>
  <c r="AD6" i="4" s="1"/>
  <c r="AG7" i="4"/>
  <c r="AG6" i="4" s="1"/>
  <c r="Z6" i="2"/>
  <c r="AD7" i="2"/>
  <c r="AG7" i="2" s="1"/>
  <c r="AD6" i="2" l="1"/>
  <c r="AG6" i="2" s="1"/>
  <c r="Z7" i="5"/>
  <c r="Z10"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Angelė Skrodenienė</author>
  </authors>
  <commentList>
    <comment ref="AF9" authorId="0" shapeId="0" xr:uid="{8FAD0EFF-8CB8-4E19-9717-840366F8EAC2}">
      <text>
        <r>
          <rPr>
            <b/>
            <sz val="9"/>
            <color indexed="81"/>
            <rFont val="Tahoma"/>
            <family val="2"/>
            <charset val="186"/>
          </rPr>
          <t>Angelė Skrodenienė:</t>
        </r>
        <r>
          <rPr>
            <sz val="9"/>
            <color indexed="81"/>
            <rFont val="Tahoma"/>
            <family val="2"/>
            <charset val="186"/>
          </rPr>
          <t xml:space="preserve">
išmesta pastato remontas 9,7, nes numatyta 29 programoje -saviv. pastatų remonte</t>
        </r>
      </text>
    </comment>
    <comment ref="AE18" authorId="0" shapeId="0" xr:uid="{773427C2-786C-4530-B777-F9EDA8DA9A45}">
      <text>
        <r>
          <rPr>
            <b/>
            <sz val="9"/>
            <color indexed="81"/>
            <rFont val="Tahoma"/>
            <family val="2"/>
            <charset val="186"/>
          </rPr>
          <t>Angelė Skrodenienė:</t>
        </r>
        <r>
          <rPr>
            <sz val="9"/>
            <color indexed="81"/>
            <rFont val="Tahoma"/>
            <family val="2"/>
            <charset val="186"/>
          </rPr>
          <t xml:space="preserve">
NEBUVO suvesta POREIKIs eBVS</t>
        </r>
      </text>
    </comment>
  </commentList>
</comments>
</file>

<file path=xl/sharedStrings.xml><?xml version="1.0" encoding="utf-8"?>
<sst xmlns="http://schemas.openxmlformats.org/spreadsheetml/2006/main" count="1046" uniqueCount="929">
  <si>
    <t>2024 m. asignavimų poreikis programoms  vykdyti</t>
  </si>
  <si>
    <t>Tūkst. eurų</t>
  </si>
  <si>
    <t>kontrolinis</t>
  </si>
  <si>
    <t>Priemonės kodai</t>
  </si>
  <si>
    <t>Programos priemonės pavadinimas</t>
  </si>
  <si>
    <t>2023 m. planas m. pradž.  Iš viso</t>
  </si>
  <si>
    <t xml:space="preserve"> 2023 m. planas m. pab. Iš viso</t>
  </si>
  <si>
    <t xml:space="preserve"> 2023 m. įvykdyta. Iš viso</t>
  </si>
  <si>
    <t xml:space="preserve">Būtina </t>
  </si>
  <si>
    <t xml:space="preserve"> reikia atlikti</t>
  </si>
  <si>
    <t xml:space="preserve">2024 m. projektas iš viso </t>
  </si>
  <si>
    <t>poreikis, jeigu būtų galimybė</t>
  </si>
  <si>
    <t>2024 m. poreikis,  iš viso</t>
  </si>
  <si>
    <t>SB (15101; 15104)</t>
  </si>
  <si>
    <t>spec. l.</t>
  </si>
  <si>
    <t>likučio l.</t>
  </si>
  <si>
    <t>SB Skirtumas 2024-2023</t>
  </si>
  <si>
    <t xml:space="preserve"> spec.l skirtumas 2022-2021</t>
  </si>
  <si>
    <t>Dotacijos viso</t>
  </si>
  <si>
    <t>VšĮ 2022m. veiklos pajamos</t>
  </si>
  <si>
    <t>I svarstymas</t>
  </si>
  <si>
    <t>3a</t>
  </si>
  <si>
    <t>3b</t>
  </si>
  <si>
    <t>3c</t>
  </si>
  <si>
    <t>4a</t>
  </si>
  <si>
    <t>8-3a</t>
  </si>
  <si>
    <t>9-3b</t>
  </si>
  <si>
    <t>p</t>
  </si>
  <si>
    <t>DARNAUS TERITORIJŲ IR INFRASTRUKTŪROS VYSTYMO PROGRAMA</t>
  </si>
  <si>
    <t>31.1.</t>
  </si>
  <si>
    <t xml:space="preserve"> Mažinti poveikį klimato kaitai ir prisitaikyti prie jos </t>
  </si>
  <si>
    <t>31.1.1.</t>
  </si>
  <si>
    <t>Didinti  energijos suvartojimo efektyvumą, padidinti žaliosios energijos gamybą mieste</t>
  </si>
  <si>
    <t>31.1.1.01.</t>
  </si>
  <si>
    <t>Atsinaujinančių energijos išteklių panaudojimo Alytaus lopšelyje-darželyje „Nykštukas“ projekto įgyvendinimas</t>
  </si>
  <si>
    <t>ES projektas</t>
  </si>
  <si>
    <t>31.1.1.02.</t>
  </si>
  <si>
    <t>Gatvių apšvietimo modernizavimas</t>
  </si>
  <si>
    <t>31.1.1.03.</t>
  </si>
  <si>
    <t>Daugiabučių gyvenamųjų namų modernizavimo ir jų aplinkos pritaikymo šiandienos poreikiams skatinimas</t>
  </si>
  <si>
    <t>31.1.1.04.</t>
  </si>
  <si>
    <t>Atsinaujinančių energijos išteklių (saulės) panaudojimo Alytaus kultūros centre projekto įgyvendinimas</t>
  </si>
  <si>
    <t>31.1.1.05.</t>
  </si>
  <si>
    <t>Individualių gyvenamųjų namų energijos suvartojimo mažinimo skatinimas (UAB „Alytaus šilumos tinklai“)</t>
  </si>
  <si>
    <t>31.1.1.06.</t>
  </si>
  <si>
    <t>Savivaldybės valdomų viešųjų pastatų modernizavimas, diegiant energijos panaudojimo efektyvumo didinimo priemones (UAB „Alytaus šilumos tinklai“)</t>
  </si>
  <si>
    <t>31.1.1.07.</t>
  </si>
  <si>
    <t>Privataus verslo įmonių skatinimas diegti energijos panaudojimo efektyvumo priemones (UAB „Alytaus šilumos tinklai“)</t>
  </si>
  <si>
    <t>31.1.1.08.</t>
  </si>
  <si>
    <t>UAB „Alytaus šilumos tinklai“ veiklos diversifikacija</t>
  </si>
  <si>
    <t>31.1.1.09.</t>
  </si>
  <si>
    <t>Šilumos tiekimo infrastruktūros pritaikymas prie mažėjančių energijos poreikių (UAB „Alytaus šilumos tinklai“)</t>
  </si>
  <si>
    <t>31.1.1.10.</t>
  </si>
  <si>
    <t>Atsinaujinančių energijos išteklių (saulės) panaudojimo Alytaus lopšelyje-darželyje „Pušynėlis“ projekto įgyvendinimas</t>
  </si>
  <si>
    <t>31.1.1.11.</t>
  </si>
  <si>
    <t>Atsinaujinančių energijos išteklių (saulės) panaudojimo Alytaus miesto savivaldybės administraciniame pastate Rotušės a. 4 projekto įgyvendinimas</t>
  </si>
  <si>
    <t>31.1.1.12.</t>
  </si>
  <si>
    <t>Atsinaujinančių energijos išteklių (saulės) panaudojimo Alytaus Vidzgirio progimnazijoje projekto įgyvendinimas</t>
  </si>
  <si>
    <t>31.1.1.13.</t>
  </si>
  <si>
    <t>Atsinaujinančių energijos išteklių (saulės) panaudojimo Alytaus Panemunės progimnazijoje projekto įgyvendinimas</t>
  </si>
  <si>
    <t>31.1.1.14.</t>
  </si>
  <si>
    <t>Atsinaujinančių energijos išteklių (saulės) panaudojimo Alytaus lopšelyje-darželyje „Du gaideliai“ projekto įgyvendinimas</t>
  </si>
  <si>
    <t>31.1.1.15.</t>
  </si>
  <si>
    <t>Atsinaujinančių energijos išteklių (saulės) panaudojimo Alytaus lopšelyje-darželyje „Girinukas“ projekto įgyvendinimas</t>
  </si>
  <si>
    <t>31.1.1.16.</t>
  </si>
  <si>
    <t>Atsinaujinančių energijos išteklių (saulės) panaudojimo Alytaus Dzūkijos mokykloje projekto įgyvendinimas</t>
  </si>
  <si>
    <t>31.1.1.17.</t>
  </si>
  <si>
    <t>Atsinaujinančių energijos išteklių (saulės) panaudojimo Alytaus „Vilties“ mokykloje-darželyje projekto įgyvendinimas</t>
  </si>
  <si>
    <t>31.1.1.18.</t>
  </si>
  <si>
    <t>Atsinaujinančių energijos išteklių (saulės) panaudojimo Alytaus medicininės reabilitacijos ir sporto centre projekto įgyvendinimas</t>
  </si>
  <si>
    <t>31.1.1.19.</t>
  </si>
  <si>
    <t>Atsinaujinančių energijos išteklių (saulės) panaudojimo Alytaus socialinių paslaugų centre projekto įgyvendinimas</t>
  </si>
  <si>
    <t>31.1.2.</t>
  </si>
  <si>
    <t>Palaikyti saugią ir švarią aplinką, skatinti žiedinės ekonomikos vystymąsi</t>
  </si>
  <si>
    <t>31.1.2.01.</t>
  </si>
  <si>
    <t>Taršos poveikio aplinkai mažinimas ir stebėsena</t>
  </si>
  <si>
    <t>Klijentų aptarnavimo centro „Mano Alytus“ aptarnavimui; Surinktoms žaliosioms atliekoms ir ekkrementams sutvarkyti.</t>
  </si>
  <si>
    <t>31.1.2.02.</t>
  </si>
  <si>
    <t>Kraujasiurbių upinių mašalų populiacijos pokyčių stebėjimo ir populiacijos reguliavimo projekto įgyvendinimas (Druskininkų savivaldybė)</t>
  </si>
  <si>
    <t xml:space="preserve">Projekto „Kraujasiurbių upinių mašalų populiacijos pokyčių stebėjimo ir populiacijos reguliavimo priemonių įgyvendinimas“ dalinis (30 proc. proc.) prisidėjimas SB lėšomis. </t>
  </si>
  <si>
    <t>31.1.2.03.</t>
  </si>
  <si>
    <t>Sosnovskio barščio naikinimo projekto įgyvendinimas</t>
  </si>
  <si>
    <t>Įgyvendinus projektą reikalinga užtikrinti tolimesnę Sosnovskio barščių populiacijos reguliavimo priežiūrą.</t>
  </si>
  <si>
    <t>31.1.2.04.</t>
  </si>
  <si>
    <t>Užterštos naftos bazės teritorijos Alytaus miesto savivaldybės Santaikos g. sutvarkymas</t>
  </si>
  <si>
    <t>Pagal sudarytą sutartį vykdomos Alytaus naftos produktų bazės ir jos gretimybių teritorijos Alytuje, Santaikos g., poveikio požeminiam vandeniui 2022–2026 m. monitoringo paslaugos.</t>
  </si>
  <si>
    <t>31.1.2.05.</t>
  </si>
  <si>
    <t>Aplinkos kokybės gerinimas ir visuomenės aplinkosauginis švietimas, įgyvendinant Aplinkos apsaugos rėmimo specialiąją programą</t>
  </si>
  <si>
    <t>31.1.2.06.</t>
  </si>
  <si>
    <t>Rūšiuojamųjų atliekų surinkimo priemonių atnaujinimas ir plėtra (ARATC)</t>
  </si>
  <si>
    <t>31.1.2.07.</t>
  </si>
  <si>
    <t>Maisto atliekų cecho ir komposto paruošimo linijos įrengimas Takniškių kompostavimo aikštelėje (ARATC)</t>
  </si>
  <si>
    <t>31.1.2.08.</t>
  </si>
  <si>
    <t>Gatvių ir viešųjų erdvių apšvietimo tinklų priežiūra</t>
  </si>
  <si>
    <t>Alytaus miesto elektra apšvietimui pagal sutartis: 600 000 Eur;
Alytaus miesto apšvietimo tinklų remontas pagal atskirą užsakymą (perdegusių šviestuvų keitimas, naujų, papildomų įrengimas, naujų spintų įrengimas, galios didinimas, sąlygų išėmimas, taip pat miesto renginių aptarnavimas, kai reikalinga elektra (pajungimas, atjungimas, priežiūra renginio metu) 100 000 Eur;
Alytaus miesto apšvietimo tinklų nepertraukiamos priežiūra ir smulkus remontas pagal sutartį (2,33 tūkst. Eur/1mėn.) 30 000 Eur.
Iš viso: 730 000 Eur</t>
  </si>
  <si>
    <t>Alytaus miesto elektra apšvietimui pagal sutartis: 100 000 Eur. Nuo sausio 1 d. gali keistis elektros kainos, kurios tikėtina vėl kils.</t>
  </si>
  <si>
    <t>31.1.2.09.</t>
  </si>
  <si>
    <t xml:space="preserve"> Žaliosios infrastruktūros elementų planavimas ir reguliavimas</t>
  </si>
  <si>
    <t>Žaliosios gatvės želdinių atnaujinimas ir plėtra</t>
  </si>
  <si>
    <t>31.1.2.10.</t>
  </si>
  <si>
    <t>Gatvių ir viešųjų erdvių tvarkymas ir priežiūra</t>
  </si>
  <si>
    <t>1. Miesto bendro naudojimo teritorijų priežiūra:                 
1.1 Alytaus miesto fontanų (Senamiesčio skvere, Rotušės aikštėje, Miesto sode, Studentų skvere, Dailidės ežerėlyje ir I Alytaus aikštėje) eksploatacija - 65 000 Eur;
1.2 Konteinerinio tualeto nuoma Jaunimo parke - 10 000
1.3 Konteinerinio tualeto dalinis apmokėjimas Miesto sode - 4 000
1.4 Medžių pjovimas, išraunant arba išfrezuojant kelmus, krūmų kirtimas, pažeistų žaliųjų plotų ir šaligatvių vykdant kelmų rovimo ar frezavimo darbus, atkūrimas Alytaus mieste - 0
1.5 Alytaus miesto Pirmo Alytaus (I) zonos šaligatvių, takų, aikščių, skverų bei žaliųjų plotų tvarkymo ir priežiūros paslauga - 30 000
1.6 Alytaus miesto šaligatvių, aikščių skverų bei žaliųjų plotų tvarkymo ir priežiūros paslaugos Alytaus miesto centro zonoje (II zona) -110 000
1.7 Alytaus miesto Dainavos (III) zonos šaligatvių, takų, aikščių, skverų bei žaliųjų plotų tvarkymo ir priežiūros paslauga - 70 000       
1.8 Alytaus miesto šaligatvių, aikščių skverų bei žaliųjų plotų tvarkymo ir priežiūros paslaugos Alytaus miesto Putinų zonoje (IV zona) - 140 000                  
1.9 Alytaus miesto šaligatvių, aikščių skverų bei žaliųjų plotų tvarkymo ir priežiūros paslaugos Alytaus miesto Vidzgirio zonoje (V zona) - 228 000
1.10 Pramonės parkų ir neplanuotų teritorijų priežiūra  - 0
1.11 Šunų ekskrementų dėžių aptarnavimas - 0
1.12 Sveikatos tako tarp A. Baranausko ir Pulko g. priežiūra - 0
1.13 Alytaus miesto savivaldybės parkų, miško parkų, paplūdimių ir Nemuno pakrančių bei juose esančios infrastruktūros tvarkymo ir priežiūros paslauga - 200 000
1.14 Vaikų žaidimo ir sporto aikštelių priežiūra ir remontas - 50 000
1.15 Miesto puošimo vėliavėlėmis ir gatvių pavadinimų lentelių pagaminimo ir pritvirtinimo prie pastatų paslaugos - 3 000
1.16 Šiukšlių išvežimo iš bendro naudojimo teritorijų surinktų talkų metu ir po miesto renginių paslaugos - 3 000
1.17 A. Juozapavičiaus ir Tūkstantmečio tiltų vandens surinkimo šulinėlių ir perėjų pralaidų išvalymo paslaugos - 3 000
1.18 Alytaus miesto gatvių valymas mechanizuotu būdu - 650 000
1.19 Sniego išvežimas iš miesto gatvių, sniego nuvalymas pravažiavimuose ir įvažiavimo keliuose - 50 000
1.20 Biotualetų nuoma ir aptarnavimo paslauga - 30 000
1.21 Mažosios Dailidžių tiltelių (lieptų) kapitalinis remontas - 30000
1.22 Didžiosios ir Mažosios Dailidžių pliažų pritaikymas neįgaliųjų poreikiams (medinių takų įrengimas) ir persirengimo kabinų paplūdimiuose pakeitimas -30 000
1.23 Suolų ir kt. medinių elementų pėsčiųjų ir dviračių takuose, gatvėse ir aikštėse remontas (atnaujinimas) - 0
1.24 Vaikų žaidimo aikštelės (Varėnos 31) perkėlimas (demontavimas, įrenginių atnaujinimas, sumontavimas) - 8 000
1.25 Medžių genėjimas (miesto gatvėse) - 20 000
1.26 Kalėdinės eglės papuošimas ir prieigos - 30 000
1.27 Bešeimininkių ir bepriežiūrių gyvūnų priežiūros paslauga - 40 000
1.28 Alytaus miesto gėlynų, dekoratyvinių krūmų grupių ir jų prieigų priežiūra ir tvarkymas - 150 000
1.29 Žaliųjų atliekų surinkimas, išvežimas ir sutvarkymas - 30 000
1.30 Smulkiems aplinkos tvarkymo darbams ir nenumatytoms išlaidoms – 18 200
2. Kapinių priežiūra:                 
2.1 Sutartys: priežiūra ir laidojimas - 70 000
2.2 Atliekos - 40 000
2.3 Vanduo - 4 000
2.4 Naujo ploto Užupių kapinėse paruošimas  - 10 000
2.5 Medžių kirtimas kapinėse - 10 000
2.6 Kitos išlaidos (tvoros, vandentiekio, takų ir pan. remontai) - 5 000
2.7 Užupių kapinių tvoros pakeitimas - 100 000
3. Gatvių, takų, šaligatvių priežiūra ir remontas:                  
3.1 Asfaltuotų gatvių remontas - 100 000
3.2 Žvyruotų g. priežiūra ir remontas - 90 000
3.3 Žvyruotų g. laistymas - 15 000
3.4 Griovių prie asfaltuotų gatvių šienavimas - 15 000
3.5 Bendro naudojimo ir savivaldybės įstaigų šaligatvių ir takų priežiūra ir remontas - 80 000
3.7 Pralaidų, grotų, valymas, išgraužų užpylimas, liūčių padarinių šalinimas - 10 000
3.8 Tiltų techninė priežiūra - 12 000
3.9 Pilėnų g. lietaus nutekėjimo griovių ir pralaidų remontas - 15 000
3.10 Miesto vartų perkėlimui ir naujų įrengimui - 50 000
3.11 Alytaus miesto kelio ženklų, atitvarų priežiūros, remonto bei naujų eismo reguliavimo priemonių įrengimas - 20 000
3.12 Alytaus miesto gatvių šviesoforų ir interaktyvių eismo reguliavimo priemonių priežiūros ir remontas - 50 000
3.13 Šviesoforų ir interaktyvių eismo reguliavimo priemonių  remontas  - 100 000
3.14 Alytaus miesto gatvių ir pėsčiųjų perėjų skersinio ir išilginio ženklinimo plastiku ir šviesą atspindinčiais dažais darbai - 30 000. 
Iš viso 2 868 800 Eur.</t>
  </si>
  <si>
    <t>1. Miesto bendro naudojimo teritorijų priežiūra:                 
1.4 Medžių pjovimas, išraunant arba išfrezuojant kelmus, krūmų kirtimas, pažeistų žaliųjų plotų ir šaligatvių vykdant kelmų rovimo ar frezavimo darbus, atkūrimas Alytaus mieste - 30 000
1.10 Pramonės parkų ir neplanuotų teritorijų priežiūra  - 50 000
1.11 Šunų ekskrementų dėžių aptarnavimas - 15 000
1.12 Sveikatos tako tarp A. Baranausko ir Pulko g. priežiūra - 26 000
1.13 Alytaus miesto savivaldybės parkų, miško parkų, paplūdimių ir Nemuno pakrančių bei juose esančios infrastruktūros tvarkymo ir priežiūros paslauga - 100 000
1.14 Vaikų žaidimo ir sporto aikštelių priežiūra ir remontas - 50 000
1.16 Šiukšlių išvežimo iš bendro naudojimo teritorijų surinktų talkų metu ir po miesto renginių paslaugos - 3 000
1.23 Suolų ir kt. medinių elementų pėsčiųjų ir dviračių takuose, gatvėse ir aikštėse remontas (atnaujinimas) - 30 000
1.30 Smulkiems aplinkos tvarkymo darbams ir nenumatytoms išlaidoms – 18 200
Iš viso 322 200 Eur.</t>
  </si>
  <si>
    <t>31.1.2.11.</t>
  </si>
  <si>
    <t>Transformacinių pajėgumų energijos, maisto ir vandens srityse (TANGO-W) projekto  įgyvendinimas</t>
  </si>
  <si>
    <t xml:space="preserve">2 mėn. Du 0,5;  </t>
  </si>
  <si>
    <t>31.1.2.12.</t>
  </si>
  <si>
    <t>Projekto „Žalieji žingsniai“ įgyvendinimas</t>
  </si>
  <si>
    <t>DU 2 mėn. 0,2</t>
  </si>
  <si>
    <t>31.1.2.15</t>
  </si>
  <si>
    <t>Projekto „Žaliosios infrastruktūros gerinimas pasienio regiono miestuose“ įgyvendinimas</t>
  </si>
  <si>
    <t>2 mėn. DU 4,7</t>
  </si>
  <si>
    <t>31.1.2.16</t>
  </si>
  <si>
    <t>Projekto „Žaliasis bendradarbiavimas“ įgyvendinimas</t>
  </si>
  <si>
    <t>2 mėn. Du 1,9</t>
  </si>
  <si>
    <t>31.2.</t>
  </si>
  <si>
    <t>Tvariai ir sumaniai vystyti miesto infrastruktūrą</t>
  </si>
  <si>
    <t>31.2.1.</t>
  </si>
  <si>
    <t>Plėtoti darnią susisiekimo infrastruktūrą</t>
  </si>
  <si>
    <t>31.2.1.01.</t>
  </si>
  <si>
    <t>Ekologiškų transporto priemonių įsigijimas</t>
  </si>
  <si>
    <t>31.2.1.02.</t>
  </si>
  <si>
    <t>Elektromobilių įkrovimo prieigų infrastruktūros sukūrimas ir palaikymas</t>
  </si>
  <si>
    <t>31.2.1.03.</t>
  </si>
  <si>
    <t>Viešojo transporto sistemos vystymas (prieinamumo ir pasiekiamumo didinimas)</t>
  </si>
  <si>
    <t xml:space="preserve">
1. Keleivių vežimo sutartis 2018-11-23 Nr. SR-1932, neįskaitant įkainių indeksavimo metinis poreikis 884 000 Eur, tame skaičiuje:
1.1 Nuostoliai (subsidijos), už pravažiuotus kilometrus: 710 500 Eur;
1.2 Bonusai už įvykdytą reisus/ridą: 11 500 Eur;
1.3 Komisiniai už bilietų platinimą, 5 proc. nuo parduotų bilietų: 62 000 Eur;
2. Elektroninio bilieto sutartis 2018-11-23 Nr. SR-1933, neįskaitant įkainių indeksavimo metinis poreikis 187 401 Eur, tame skaičiuje: 
2.1 Fiksuotas mėnesinis mokestis (kai 1 mėn. = 15 617 Eur): 187 401 Eur.
3. Programa „Pikas“ sudarytų Alytaus m. viešojo transporto eismo tvarkaraščių, galimų pakeitimų, priežiūros, garantijos, papildomo programavimo duomenų formavimo elektroniniui bilietui, interneto svetainėms bei serveriams paslaugos, 2023-03-23 Nr. SR-698: 3 599 Eur.
4. Viešo transporto stotelių paviljonų priežiūros paslaugų sutartis, 2022-04-14 Nr. SR-995: 20 000 Eur.
Bendra ∑1,2,3 ir 4 punktuose suplanuota suma 2024 m. metams: 995 000 Eur (į šią sumą neįskaičiuota sutarčių įkainių indeksacija).</t>
  </si>
  <si>
    <t>1. Keleivių vežimo sutartis 2018-11-23 Nr. SR-1932, nuuostoliams (subsidijoms), už pravažiuotus kilometrus: 100 000 Eur.</t>
  </si>
  <si>
    <t>Įkainių indeksavimui</t>
  </si>
  <si>
    <t>31.2.1.04.</t>
  </si>
  <si>
    <t>Darnaus judumo priemonių diegimas</t>
  </si>
  <si>
    <t>31.2.1.05.</t>
  </si>
  <si>
    <t>Susisiekimo infrastruktūros plėtra ir modernizavimas</t>
  </si>
  <si>
    <t>Santaikos ir Ulonų g. rekonstravimas: 
10 - V etapas  
133,2 - III etapas
33,7 - Sudvajų g. rekonstravimas II etapas 
130 - Tvirtovės g. rekonstravimas I etapas
217 - Miklusėnų g. rekonstravimas 
150 - Merkinės g. rekonstravimas 
50 - Alovės g. asfaltavimas 
124,2 - Šilelio g. asfaltavimas
100 - Zaidų g. asfaltavimas
193,3 - Aukštakalnio g. asfaltavimas
179,6 - Obelytės g. asfaltavimas
92 - Žvyruotų g. (Gintaro, Kelmučių, Lakštingalų, Šaltinėlio, Pavasario, Žiedo, Seinų)  asfaltavimo projektavimui 
31,1 - Aikštelė Vingio g. 27A 
282,4 - Aikštelė Jurgiškių g.
10 - Pravažiavimo kelias ir pėsčiųjų takas iš Ligoninės g. iki Jotvingių g. 
400 - Asfalto dangos atnaujinimas 
10 - Statybos užbaigimo dokumentai
5 - Laboratoriniai bandymai</t>
  </si>
  <si>
    <t>785,7 - Santaikos ir Ulonų g. rekonstravimas III etapas 
711- Sudvajų g. rekonstravimas II etapas
367 - Tvirtovės g. rekonstravimas I etapas 
202,5 - Miklusėnų g. rekonstravimas 
150 - Merkinės g. rekonstravimas 
160 - Pravažiavimo kelias ir pėsčiųjų takas iš Ligoninės g. iki Jotvingių g.
100 - Asfalto dangos atnaujinimas 
30 - S. Dariaus ir S. Girėno g. žiedinės sankryžos įrengimo projektavimas</t>
  </si>
  <si>
    <t>31.2.1.06.</t>
  </si>
  <si>
    <t>Infrastruktūros objektų, kuriuos iš dalies finansuoja fiziniai ar juridiniai asmenys, modernizavimas ir plėtra</t>
  </si>
  <si>
    <t>31.2.1.07.</t>
  </si>
  <si>
    <t>Viešųjų erdvių standarto sukūrimas</t>
  </si>
  <si>
    <t>Miesto centro archirektūrinis konkursas (dalis), Dainų slėnio vizija</t>
  </si>
  <si>
    <t>31.2.1.08.</t>
  </si>
  <si>
    <t>Saugių eismo priemonių Alytaus mieste diegimas (dviračių ir pėsčiųjų takų įrengimas)</t>
  </si>
  <si>
    <t>31.2.1.09.</t>
  </si>
  <si>
    <t>Saugaus eismo priemonių diegimas</t>
  </si>
  <si>
    <t>31.2.1.10.</t>
  </si>
  <si>
    <t>Darnaus judumo priemonių diegimas Alytaus mieste (II etapas)</t>
  </si>
  <si>
    <t>2 mėn. Du 3,3;                       100 - Apyvartinės lėšos</t>
  </si>
  <si>
    <t>31.2.1.11.</t>
  </si>
  <si>
    <t xml:space="preserve">Alytaus dviračių ir pėsčiųjų takų plėtra </t>
  </si>
  <si>
    <t>31.2.1.12.</t>
  </si>
  <si>
    <t>Pirmojo Alytaus pramonės zonos infrastruktūros pritaikymas pasikeitusiems verslo poreikiams (MS/FZ)</t>
  </si>
  <si>
    <t>31.2.1.13</t>
  </si>
  <si>
    <t>Alytaus Vidzgirio mikrorajono viešųjų erdvių humanizavimas</t>
  </si>
  <si>
    <t>2 mėn. DU 5,0;                  123,1 - Apyvartinės lėšos</t>
  </si>
  <si>
    <t>31.2.1.14</t>
  </si>
  <si>
    <t>Alytaus Sveikatos tako teritorijos ir prieigų (Kepyklos g.) atgaivinimas</t>
  </si>
  <si>
    <t>2 mėn. DU 0,3</t>
  </si>
  <si>
    <t>31.2.2.</t>
  </si>
  <si>
    <t>Darniai planuoti miesto teritoriją, modernizuoti ir išplėtoti viešųjų paslaugų teikimo infrastruktūrą</t>
  </si>
  <si>
    <t>31.2.2.01.</t>
  </si>
  <si>
    <t>Nuoseklus ir strategiškas urbanistinis planavimas ir nenaudojamų teritorijų vystymas</t>
  </si>
  <si>
    <t>Sutarys: dėl SEDR ir Geodezinių punktų</t>
  </si>
  <si>
    <t>31.2.2.02.</t>
  </si>
  <si>
    <t>Miesto urbanistinės ir architektūrinės kokybės gerinimas</t>
  </si>
  <si>
    <t>R. Kalantos skvero projektas -60,           Miesto centro architektūrinis konkursas (dalis) - 30, Spec.planas - 30</t>
  </si>
  <si>
    <t>31.2.2.03.</t>
  </si>
  <si>
    <t>Daugiabučių gyvenamųjų namų kvartalinės renovacijos įgyvendinimas</t>
  </si>
  <si>
    <t>31.2.2.04.</t>
  </si>
  <si>
    <t>Švietimo įstaigų ugdymo aplinkos modernizavimas, priežiūra ir plėtra</t>
  </si>
  <si>
    <t>31.2.2.05.</t>
  </si>
  <si>
    <t>Dainavos pagrindinės mokyklos Vilties g. 12, Alytuje, stadiono teritorijos su lauko aikštynais ir prieigomis rekonstravimas</t>
  </si>
  <si>
    <t>31.2.2.06.</t>
  </si>
  <si>
    <t>Modernių ir saugių Alytaus Dzūkijos pagrindinės mokyklos erdvių sukūrimas</t>
  </si>
  <si>
    <t>31.2.2.07.</t>
  </si>
  <si>
    <t>Projekto „Bendradarbiavimas – terapijos sėkmė“ Alytaus Dzūkijos mokykloje įgyvendinimas</t>
  </si>
  <si>
    <t>31.2.2.08.</t>
  </si>
  <si>
    <t>Projekto „Būk aktyvus – būsi sveikas“ II etapo įgyvendinimas</t>
  </si>
  <si>
    <t>31.2.2.09.</t>
  </si>
  <si>
    <t xml:space="preserve">Viešųjų pastatų modernizavimas </t>
  </si>
  <si>
    <t>31.2.2.10.</t>
  </si>
  <si>
    <t>VšĮ Alytaus apskrities S. Kudirkos ligoninės pastatų Alytuje, Ligoninės g. 12, rekonstravimas</t>
  </si>
  <si>
    <t>31.2.2.11.</t>
  </si>
  <si>
    <t>Viešosios infrastruktūros, skirtos fiziniam aktyvumui ir laisvalaikiui, vystymas ir priežiūra</t>
  </si>
  <si>
    <t>31.2.2.12.</t>
  </si>
  <si>
    <t>Bendradarbiavimo – kuriant inovatyvias ir sveikas aplinkas projekto įgyvendinimas</t>
  </si>
  <si>
    <t>31.2.2.13.</t>
  </si>
  <si>
    <t>Projekto „Sportas visiems“ įgyvendinimas</t>
  </si>
  <si>
    <t>31.2.2.14.</t>
  </si>
  <si>
    <t>Paviršinių nuotekų tinklų ir sistemų vystymas (UAB „Dzūkijos vandenys“)</t>
  </si>
  <si>
    <t>31.2.2.15.</t>
  </si>
  <si>
    <t>Centralizuotos nuotekų infrastruktūros plėtra (UAB „Dzūkijos vandenys“)</t>
  </si>
  <si>
    <t>31.2.2.16.</t>
  </si>
  <si>
    <t>Vandentiekio ir nuotekų tinklų rekonstrukcija (UAB „Dzūkijos vandenys“)</t>
  </si>
  <si>
    <t>31.2.2.18.</t>
  </si>
  <si>
    <t>Savivaldybei nuosavybės teise priklausančių patalpų administravimas, priežiūra ir remontas (UAB „Alytaus butų ūkis“)</t>
  </si>
  <si>
    <t>31.2.2.19.</t>
  </si>
  <si>
    <t xml:space="preserve"> Alytaus miesto centrinės dalies viešosios infrastruktūros funkcionalumo didinimas</t>
  </si>
  <si>
    <t>31.2.2.20.</t>
  </si>
  <si>
    <t xml:space="preserve">Alytaus miesto socialinio būsto ir apsaugoto būsto plėtra </t>
  </si>
  <si>
    <t>31.2.2.21.</t>
  </si>
  <si>
    <t>Alytaus miesto bendrojo ugdymo mokyklų švietimo bei mokymo paslaugų kokybės didinimas plėtojant tinkamą infrastruktūrą</t>
  </si>
  <si>
    <t>2 mėn. DU 0,8;                          400 - Apyvartinės lėšos</t>
  </si>
  <si>
    <t>31.2.2.22.</t>
  </si>
  <si>
    <t>Vaikų ir jaunimo neformlaus ugdymo sąlygų gerinimas</t>
  </si>
  <si>
    <t>2 mėn. DU 4,6</t>
  </si>
  <si>
    <t>31.2.2.23.</t>
  </si>
  <si>
    <t>Alytaus Jaunimo parko ir aplinkinės teritorijos pritaikymas visuomenės poreikiams</t>
  </si>
  <si>
    <t>2 mėn. DU 8,7</t>
  </si>
  <si>
    <t>31.2.2.24.</t>
  </si>
  <si>
    <t xml:space="preserve">Alytaus miesto ikimokyklinio ugdymo įstaigų ugdymo sąlygų gerinimas  </t>
  </si>
  <si>
    <t>2 mėn. DU 0,8;                        200 - Apyvartinės lėšos</t>
  </si>
  <si>
    <t>31.2.2.25</t>
  </si>
  <si>
    <t>Įgyvendinti savivaldybės infrastruktūros plėtros rėmimo programą prioritetinėje teritorijoje</t>
  </si>
  <si>
    <t>31.2.2.27</t>
  </si>
  <si>
    <t>Nemuno pakrantės teritorijos funkcionalumo didinimas</t>
  </si>
  <si>
    <t>2 mėn. DU 1,3</t>
  </si>
  <si>
    <t>31.2.2.28</t>
  </si>
  <si>
    <t>Alytaus miesto savivaldybės Sveikatos centro infrastruktūros modernizavimas</t>
  </si>
  <si>
    <t>31.2.2.29</t>
  </si>
  <si>
    <t>Ilgalaikės priežiūros paslaugų plėtra Alytaus mieste</t>
  </si>
  <si>
    <t xml:space="preserve">SB </t>
  </si>
  <si>
    <t>Savivaldybės biudžeto lėšos (savarankiškoms f-joms vykdyti)</t>
  </si>
  <si>
    <t>Spc</t>
  </si>
  <si>
    <t>Veiklos pajamų (spec. lėšos)</t>
  </si>
  <si>
    <t>ML</t>
  </si>
  <si>
    <t>Ugdymo lėšos</t>
  </si>
  <si>
    <t>DF</t>
  </si>
  <si>
    <t>Deleguotų f-jų vykdymo lėšos</t>
  </si>
  <si>
    <t>KD</t>
  </si>
  <si>
    <t>Visų kitų dotacijų lėšos</t>
  </si>
  <si>
    <t>ES</t>
  </si>
  <si>
    <t>Europos Sąjungos lėšos+ Valstyvės biudžeto dalis</t>
  </si>
  <si>
    <t>AA</t>
  </si>
  <si>
    <t>Aplinkos apsaugos specialiosios lėšos ir RAC</t>
  </si>
  <si>
    <t>L</t>
  </si>
  <si>
    <t>Likučių lėšos</t>
  </si>
  <si>
    <t>SB Skirtumas 2022-2021</t>
  </si>
  <si>
    <t>32.</t>
  </si>
  <si>
    <t>ADMINISTRAVIMO IR VIEŠŲJŲ PASLAUGŲ TEIKIMO PROGRAMA</t>
  </si>
  <si>
    <t>32.1.</t>
  </si>
  <si>
    <t>Tobulinti gyventojų poreikius atitinkančias viešąsias paslaugas</t>
  </si>
  <si>
    <t>32.1.1.</t>
  </si>
  <si>
    <t>Sudaryti aktyvios ir sveikos gyvensenos sąlygas</t>
  </si>
  <si>
    <t>32.1.1.01.</t>
  </si>
  <si>
    <t>Visuomenės sveikatos biuro veiklos organizavimas, stiprinant visuomenės sveikatą ir vykdant jos stebėseną (monitoringą)</t>
  </si>
  <si>
    <t>32.1.1.02.</t>
  </si>
  <si>
    <t>Ugdymo įstaigų mokinių ir ikimokyklinukų visuomenės sveikatos priežiūros organizavimas</t>
  </si>
  <si>
    <t>32.1.1.03.</t>
  </si>
  <si>
    <t>Visuomenės sveikatos rėmimo specialiosios programos priemonių įgyvendinimas</t>
  </si>
  <si>
    <t>Visuomenės sveikatos rėmimo specialiosios programos projektams finansuoti</t>
  </si>
  <si>
    <t>32.1.1.04.</t>
  </si>
  <si>
    <t>Projekto „Mažais žingsneliais – sveikos gyvensenos link“ įgyvendinimas</t>
  </si>
  <si>
    <t>32.1.1.05.</t>
  </si>
  <si>
    <t>Visuomenės psichikos sveikatos paslaugų prieinamumo bei ankstyvojo savižudžių atpažinimo ir kompleksinės pagalbos teikimo sistemos plėtojimas</t>
  </si>
  <si>
    <t xml:space="preserve">Psichikos sveikatos gerinimo individualioms konsultacijoms </t>
  </si>
  <si>
    <t>32.1.1.06.</t>
  </si>
  <si>
    <t>Integruotų priklausomybės ligų gydymo paslaugų kokybės ir prieinamumo gerinimo projekto vykdymas</t>
  </si>
  <si>
    <t>32.1.1.07.</t>
  </si>
  <si>
    <t xml:space="preserve"> Sveikatos kabinetų paslaugų kokybės gerinimo projekto įgyvendinimas</t>
  </si>
  <si>
    <t>Rangos darbai: - 16000 Eur, Metodinės priemonės  - 23,400 Eur, 3800 Eur - priemonės (žaidimai, sensoriniai takeliai ir kt)</t>
  </si>
  <si>
    <t>32.1.1.08.</t>
  </si>
  <si>
    <t>Kokybiškų asmens sveikatos priežiūros, sveikatinimo ir švietėjiškų paslaugų plėtojimas</t>
  </si>
  <si>
    <t xml:space="preserve">Perkamos individualios psichologo paslaugos, reprodukcinės sveikatos mokymai, kineziterapijos paslaugos vaikams, turintiems stuburo deformacijas ir kitas įvairias stuburo patologijas, tėvystės įgūdžių paslaugos. </t>
  </si>
  <si>
    <t xml:space="preserve">10,0 psichokatyvių medžiagų vartojimo prevencijos mokymams, 10,0 savižudybių prevencijos mokymams. </t>
  </si>
  <si>
    <t>32.1.1.09.</t>
  </si>
  <si>
    <t>Asmens sveikatos priežiūros įstaigų teikiamų paslaugų kokybės ir prieinamumo gerinimas</t>
  </si>
  <si>
    <t xml:space="preserve">Finansuojami 5 trūkstamos specialybės gydytojai - 29,5 tūkst Eur.,
38,6 tūkst Eur skiriama naujų medikų pritraukimui, finansuojama 16 rezidentų - 126,4 tūkst Eur., 
dengiama lizingo sutartis dėl branduolinio magnetinio rezonanso - 128,2 tūkst Eur. </t>
  </si>
  <si>
    <t>8,6 tūkst Eur. Trūkstamos specialybės gydytojams finansuoti, 
41,0 tūkst Eur. Rezidentams finansuoti, 250,0 tūkst Eur pavežėjimo paslaugoms finansuoti nuo 2024-07-01                                  2mėn. DU 11,4</t>
  </si>
  <si>
    <t>VšĮ Alytaus poliklinikai: 4,9 tūkst Eur. viešieji skaitmeniniai ekrainai, 9,5 tūkst Eur. darbo drabužiams, 9,0 tūkst Eurvėsinimo sistemos techninis projektas</t>
  </si>
  <si>
    <t>32.1.1.10.</t>
  </si>
  <si>
    <t>Ambulatorinių sveikatos priežiūros paslaugų gerinimo tuberkulioze sergantiems asmenims projekto vykdymas</t>
  </si>
  <si>
    <t>32.1.1.11.</t>
  </si>
  <si>
    <t>Pasitikėjimo kabineto Alytuje projekto įgyvendinimas</t>
  </si>
  <si>
    <t>32.1.1.12.</t>
  </si>
  <si>
    <t>Asmens sveikatos priežiūros kokybės užtikrinimas</t>
  </si>
  <si>
    <t>32.1.1.13.</t>
  </si>
  <si>
    <t>Visuomenės sveikatos gerinimas</t>
  </si>
  <si>
    <t>Projektmas įgyvendinti</t>
  </si>
  <si>
    <t>32.1.2.</t>
  </si>
  <si>
    <t>Didinti socialinės paramos tikslingumą, prieinamumą, administravimo kokybę ir efektyvumą</t>
  </si>
  <si>
    <t>32.1.2.01.</t>
  </si>
  <si>
    <t xml:space="preserve">Socialinės reabilitacijos paslaugų neįgaliesiems bendruomenėje teikimas ir materialinio nepritekliaus mažinimo programos koordinavimas </t>
  </si>
  <si>
    <t>274 akredituotos vietos 7 įstaigose, už 1 vietą savivaldybė moka ne mažiau kaip 0,35 BSI(0,35*55*274 vietos*12 mėn.=63294,0 Eur</t>
  </si>
  <si>
    <t>Gali būti papildomai akredituotų vietų soc.reabilitacijos paslaugoms gauti</t>
  </si>
  <si>
    <t>32.1.2.02.</t>
  </si>
  <si>
    <t>Būsto pritaikymas neįgaliesiems</t>
  </si>
  <si>
    <t>Nuo skiriamo valstybės biudžeto finansavimo savivaldybė turi prisidėti ne mažiau kaip 40 proc., taip pat valstybės lėšos vienam būstui negali viršyti nustatytos sumos, todėl kai kuriais atvejais yra reikalingas didesnis prisidėjimas savivaldybės lėšomis. Šiuo metu 43 asmenų laukia būsto pritaikymo.</t>
  </si>
  <si>
    <t xml:space="preserve"> Dalis būstų, kuriems buvo numatytas finansavimas 2023 m. gali būti nepritaikyti, nes neįvyksta viešieji pirkimai, todėl jų pritaikymas persikels į 2024 m. (6 būstai). </t>
  </si>
  <si>
    <t>32.1.2.03.</t>
  </si>
  <si>
    <t>Būsto pritaikymas neįgaliems vaikams</t>
  </si>
  <si>
    <t>32.1.2.04.</t>
  </si>
  <si>
    <t>Ilgalaikės socialinės globos paslaugų asmenims su negalia teikimas</t>
  </si>
  <si>
    <t>Finansuojama ilgalaikė soc. globa (20 asmenų) ir dienos soc. globa (15 asmenų), kuriems paslaugos finansuojamos savivaldybės lėšomis. Per mėnesį tam reikia apie 35, 0 tūkst. Eur. 35,5*12=426,0 plius 10 proc. nes visi globos namai kasmet kelia kainas, taip pat dienos globos paslaugų poreikis nuolat didėja ir savivaldybė šias paslaugas turi užtikrinti. Dienos soc. globai nuolat apie 10 asmenų yra eilėje.</t>
  </si>
  <si>
    <t>32.1.2.05.</t>
  </si>
  <si>
    <t>Maitinimo, transporto, laidojimo, paramos maisto produktais ir kitų socialinių paslaugų teikimas</t>
  </si>
  <si>
    <t>Sutartys: Antstolė: 50*12=0,6 tūkst. Eur;
Maitinimas -8,0 tūkst.
Transporto paslaugos neįgaliesiems-60,0 tūkst. 
Laidojimas -0,8 (158 asmeniui)
Šeimos konferencijos paslauga – 3,0, 
atvirukai, lankstinukai, minėjimai - 4,0</t>
  </si>
  <si>
    <t>Autizmo dienai skirtas renginys – 0,5; Socialinio darbuotojo diena – 1,5, lankstinukai, globėjų šventė-1,6; Mirabilia paslaugoms - 6,0, paslaugos autizmo spektro sutrikimų turintiems vaikams - 10,0</t>
  </si>
  <si>
    <t>Komisijoms (neįgaliųjų reikalų/NVO tarybos narių mokymui, lankstinukams).-4,0</t>
  </si>
  <si>
    <t>32.1.3.</t>
  </si>
  <si>
    <t>Mažinti socialinę atskirtį</t>
  </si>
  <si>
    <t>32.1.3.01.</t>
  </si>
  <si>
    <t>Socialinių pašalpų mokėjimas nepasiturintiems asmenims</t>
  </si>
  <si>
    <t>10 mėn. kasinės apie 1930,0 tūkst.+175,0 tūkst.*2 mėn=2280,0 tūkst. Eur.
Skaičiaunant 175,0*12+12proc. Dėl VRP didėjimo, viso 2350,0</t>
  </si>
  <si>
    <t>7-8 eilutėje paskaičiuota minimaliausia suma, tikintis, kad gavėjų sumažės, jeigu jų nesumažės šios sumos metų eigoje truks</t>
  </si>
  <si>
    <t>32.1.3.02.</t>
  </si>
  <si>
    <t>Vienkartinių, tikslinių, sąlyginių ir periodinių pašalpų nepasiturintiems asmenims teikimas</t>
  </si>
  <si>
    <t xml:space="preserve">10 mėn, kasinės 49,0 tūkst. +7tūkst*3 mėn=70,0 tūkst. ik imetų galo.  Skaičiuojant+12 proc. dėl VRP didėjimo, viso apie 80,0 tūkst metams. </t>
  </si>
  <si>
    <t>32.1.3.03.</t>
  </si>
  <si>
    <t>Kompensacijų už šildymą, karštą ir geriamąjį vandenį nepasiturintiems asmenims mokėjimas</t>
  </si>
  <si>
    <t xml:space="preserve">10 mėn, kasinės 2013,0 tūkst. Eur. Poreikis paskaičiuotas: šildymui ir renovacijoms 2000,0+karštam vandeniui 70,0, šaltam vandeniui-12,8+šiukšlės -20,0 tūkst. Ir visas poreikis sumažintas 20,0 proc, tikintis, kad tiek sumažės dė turto vertinimo  </t>
  </si>
  <si>
    <t>32.1.3.04.</t>
  </si>
  <si>
    <t>Paramos mirties atveju teikimas</t>
  </si>
  <si>
    <t>32.1.3.05.</t>
  </si>
  <si>
    <t>Išmokų, tikslinių ir kitų kompensacijų mokėjimas</t>
  </si>
  <si>
    <t>Transporto lengvatos. 10 mėnesių kasinės 360,0+ 2 mėn po 45 tūkst.</t>
  </si>
  <si>
    <t>32.1.3.06.</t>
  </si>
  <si>
    <t>Išmokų vaikams mokėjimas</t>
  </si>
  <si>
    <t>10 mėn, kasinės 60,0 tūkst.7,7 *55*190 vaikų =80465 Eur</t>
  </si>
  <si>
    <t xml:space="preserve">Skaičiuotas minimaliausias išmokų skaičius, 2021, 2022 m. buvo apie 270 išmokų, 2023 m. 10 mėn.-160  išmokų. Skaičuojant, kad bus 220 išmokų, truks 10,0 tūks. </t>
  </si>
  <si>
    <t>32.1.3.07.</t>
  </si>
  <si>
    <t>Socialinės paramos mokiniams teikimas</t>
  </si>
  <si>
    <t>32.1.3.08.</t>
  </si>
  <si>
    <t>Nemokamas mokinių maitinimas VšĮ Alytaus šv. Benedikto gimnazijoje</t>
  </si>
  <si>
    <t>32.1.3.09.</t>
  </si>
  <si>
    <t>Alytaus profesinio rengimo centro mokinių važiavimo išlaidų kompensavimas</t>
  </si>
  <si>
    <t>Alytaus profesinio rengimo centro mokinių važiavimo išlaidoms kompensuoti</t>
  </si>
  <si>
    <t>32.1.3.10.</t>
  </si>
  <si>
    <t>Socialinės paramos (kompensacijų, socialinių ir kitų išmokų) ir socialinių paslaugų administravimas</t>
  </si>
  <si>
    <t>32.1.3.11.</t>
  </si>
  <si>
    <t>Dalyvavimas vertinant asmens savarankiškumą kasdienėje veikloje VšĮ Alytaus miesto socialinių paslaugų centre</t>
  </si>
  <si>
    <t>32.1.3.12.</t>
  </si>
  <si>
    <t>Gyvenamojo būsto tikslinėms grupėms užtikrinimas</t>
  </si>
  <si>
    <t>10 Pagal Paramos būstui įsigyti ar išsinuomoti įstatymą vykdoma būsto nuoma rinkoje (sudaromos trišalės sutartys) 2023 m. išsinuomoti 2 būstai, jų nuoma 2023 m. apie 5 tūkst Eur. (planuota išnuomoti 2023 m. 9 būstai). 
16 jaunoms šeimoms būsto įsigijimui (5 proc. nuo paimto kredito sumos, skiriama pagal poreikį, planuojama, kad pasinaudos apie 3 jaunos šeimos). 2022 m. skirta vienai šeima – 3294 Eur,
2023 m. lėšų neskirta, įtakojo tai, kad finansavimo neskyrė vyriausybė)</t>
  </si>
  <si>
    <t>100,0 Socialinio būsto fondo plėtra – butų pirkimui</t>
  </si>
  <si>
    <t>32.1.3.13.</t>
  </si>
  <si>
    <t>Būsto nuomos ar išperkamosios būsto nuomos mokesčių dalies kompensacijų mokėjimas ir administravimas</t>
  </si>
  <si>
    <t>32.1.3.14.</t>
  </si>
  <si>
    <t>Kokybiškų socialinių paslaugų plėtra, sąlygų sudarymas socialinę riziką patyrusiam asmeniui (šeimai) ugdyti ar stiprinti gebėjimus ir galimybes spręsti savo socialines problemas, padėti įveikti socialinę atskirtį VšĮ Alytaus miesto socialinių paslaugų centre</t>
  </si>
  <si>
    <t>DU 771,5 (+15,3)
Sodra 15,4 (+1,3)
Darbdavio parama 3,5
Papildomas lėšų poreikis: DU,Sodra,Darbdavio socialinė parama -12,0 Tūkst.Eur-.;
dėl MMA padininimo nuo 840 iki 927eurų   3 etatai -3,1 tūkst.Eur.
minimaliems koeficientams padidinti, dėl  darbuotojų darbo stažo,kategorijos</t>
  </si>
  <si>
    <t>2 mėn. DU 128,6</t>
  </si>
  <si>
    <t>32.1.3.15.</t>
  </si>
  <si>
    <t>Asmeninės pagalbos neįgaliesiems teikimas</t>
  </si>
  <si>
    <t>32.1.3.16.</t>
  </si>
  <si>
    <t>Sąlygų sudarymas kiekvienam tėvų globos netekusiam vaikui išvengti institucinės globos, augti saugioje aplinkoje, gauti į individualius poreikius orientuotas bendruomenines paslaugas, skatinti socialinius ryšius ir integraciją (Alytaus miesto šeimos centras)</t>
  </si>
  <si>
    <t xml:space="preserve">Darbo užmokestis 760,5; 
sodra 13,2 (-0,4);
darbdavio parama 19,4 (+14,4) (planuojams darbuotojų atleidimas)
šildymas 11,5 (-9,8); 
elektra 5,2; 
vanduo 3,7 (+0,5);
šiukšlės 0,7; 
02 str. 3,8 ( sudaryta sutartis su Ramunėlės vaistine) 
06 str. 10,8 (+4,6, sudaryta sutartis su Circle K) 
07 str. 3,0 (+1,6) ( sudaryta sutartis su Gintvile)
14 str. 10,0 (+10,0,sudaryta būstų nuomos sutartis) 
11 str. 1,5 (+1,5, dėl sutartinių vaikų kelionių į užsienio šalis, pas globotojus) 
15 str.6,0 (būtina namo stogo remontui, kur gyvena globotiniai)
16 str. 2,5 (-1,5, kvalifikacijos kelimas), 
22 str. 1,0 reprezentacinės išlaidos
23 str. 1,8   (+1,8)šios lėšos skirtos vykdyti kasmetinius renginius, globos centro viešinimui
30 str. 135,6 prekės (-10,7)  sudarytos sutartys su budinčiais globotojais dėl MMA padidėjimo, būtini  higienos ir švaros pirkimai
(PASTABA -PLANUOJAMAS ĮSTAIGOS 2024 M. BIUŽETAS 75,0 TŪKST. EUR. MAŽESNIS NEGU ŠIŲ METŲ. NORINT PLANUOTI 9 PROC. MAŽESNĮ BIUDŽETA REIKIA DU PLANUOTI TIK 11 MĖN.....) . </t>
  </si>
  <si>
    <t>2 mėn. DU 152,1              2mėn. Komunaliniai 3,5 +37,0 DU padidėjimui</t>
  </si>
  <si>
    <t>32.1.3.18</t>
  </si>
  <si>
    <t>Pabėgėlių iš Ukrainos priėmimo ir ankstyvos integracijos projekto įgyvendinimas</t>
  </si>
  <si>
    <t>32.1.4.</t>
  </si>
  <si>
    <t>Užtikrinti socialinių paslaugų kokybę, prieinamumą ir plėtrą</t>
  </si>
  <si>
    <t>32.1.4.01.</t>
  </si>
  <si>
    <t>Socialinių paslaugų teikimas Alytaus nakvynės namuose</t>
  </si>
  <si>
    <t>DU-280,9 tūkst. Eur; 
Sodra-4,9 tūkst. Eur (+0,8);          
Darbdavių socialinei paramai pinigais-0,8 tūkst. Eur;           
Šildymui-3,7 tūkst. Eur; 
Elektrai-9,5 tūkst. Eur (+7,3); 
Vandentiekiui-1,8 tūkst. Eur;                             
Šiukšlių išvežimui-0,1 tūkst. Eur;                   
Ryšių paslaugų įsigijimo išlaidos-0,2 tūkst. Eur( apmokamos Telia ryšio paslaugos);  
Transporto išlaikymo ir transporto paslaugų įsigijimo išlaidos-0,6 tūkst. Eur (apmokama automobilio remonto darbai, draudimo paslaugos ir kuras); 
Kvalifikacijos kėlimo išlaidos-0,8 tūkst. Eur; 
Reprezentacinės išlaidos-0,1 tūkst. eur; 
Informacinių technologijų prekių ir paslaugų įsigijimo išlaidos-0,6 tūkst. Eur; 
Kitų prekių ir paslaugų įsigijimo išlaidos-2,0 tūkst. Eur (apmokama: banko mokestis, deratizacijos darbai, Alytaus butų ūkio pastato priežiūra ir kitos sąnaudos, perkamos ūkinės prekės).</t>
  </si>
  <si>
    <t>2 mėn. DU 56,2                              2mėn. Komunaliniai 2,5; +38,7 Du didėjimas</t>
  </si>
  <si>
    <t>32.1.4.02.</t>
  </si>
  <si>
    <t>Socialinių paslaugų teikimas VšĮ Alytaus medicininės reabilitacijos ir sporto centre</t>
  </si>
  <si>
    <t>DU 365,9
Sodra 8,3 (+1,8)
Dėl koeficientų didėjimo 2023 metais ir MMA didėjimo taikytino 2024 metais, DU lyginant su 2023 metais padidėjo 85,8 tūkst. EUR. Taip pat paskaičiuota kintamoji dalis 1% nuo DU fondo, kas sudaro 4,7 tūkst. EUR. Dėl MMA  DU ir SoDra padidėjo 48,2 tūkst. EUR., dėl koeficientų didėjimo 32,9 tūkst.EUR.</t>
  </si>
  <si>
    <t>2 mėn. DU 73,2</t>
  </si>
  <si>
    <t xml:space="preserve">Būtų priimta 0,5 etato  socialinio darbuotojo ir 1darbuotojas slaugytojo padėjėjo </t>
  </si>
  <si>
    <t>32.1.4.03.</t>
  </si>
  <si>
    <t>Socialinių ir sociokultūrinių paslaugų teikimas VšĮ Alytaus miesto bendruomenės centre</t>
  </si>
  <si>
    <t>DU 120; 
komunaliniai 35,7; 
ryšių įrang. ir pasl.0,1; transporto išl.0,2; kvalifikacijos kėl.0,2; informac.technol.0,2; reprezentacinės 0,1, 
kitų prekių ir pasl.5; darbd.soc.parama 0,4</t>
  </si>
  <si>
    <t>2 mėn. DU 24                 2 mėn. komunaliniai 6; +18,1 Du didėjimas</t>
  </si>
  <si>
    <t>32.1.4.04.</t>
  </si>
  <si>
    <t>VšĮ Alytaus poliklinikos kompleksinės (integralios, ambulatorinės, socialinės) pagalbos paslaugų, orientuotų į paslaugų gavėjo poreikius, teikimo asmens namuose plėtojimas</t>
  </si>
  <si>
    <t>AMS lėšų 1,25 et.=16,4 DU+0,35 Sodra, 
VB l. 23 et-297,7 du+ 5,3 sodra, įvertinus 0,05 proc atlyginimų didėjimui</t>
  </si>
  <si>
    <t>2 mėn. DU 3,3</t>
  </si>
  <si>
    <t>32.1.4.05.</t>
  </si>
  <si>
    <t>Privataus ir viešojo sektoriaus pritraukimas teikti akredituotas socialinės globos ir priežiūros paslaugas</t>
  </si>
  <si>
    <t>10 mėn, kasinės 650,0 tūkst Eur. Per mėnesį paslaugoms vidutiniškai reikia 50,0 tūkst. Eur 50*12+15 proc. didėjimas dėl paslaugų gavėjų didėjimo, kainų didėjimo, kurias sąlygos DU pasikeitimai ir pan.</t>
  </si>
  <si>
    <t>32.1.4.06.</t>
  </si>
  <si>
    <t>Alytaus miesto bendruomeninių šeimos namų projekto įgyvendinimas (VšĮ Alytaus miesto bendruomenės centras)</t>
  </si>
  <si>
    <t>32.1.4.07.</t>
  </si>
  <si>
    <t>Šeimai artimos aplinkos sukūrimo Alytaus mieste projekto įgyvendinimas</t>
  </si>
  <si>
    <t>32.1.4.08.</t>
  </si>
  <si>
    <t>Supratingos pasienio bendruomenės projekto įgyvendinimas (VšĮ Alytaus miesto bendruomenės centras)</t>
  </si>
  <si>
    <t>32.1.4.09.</t>
  </si>
  <si>
    <t>Užimtumo didinimo programos įgyvendinimas</t>
  </si>
  <si>
    <t>12 asmenų*1,03 mėnesiui*4 mėn=49,44
13,0 skiriama 6 mėnesiams įdarbinti 12 asmenų su intelekto ar psichosocialine negalia</t>
  </si>
  <si>
    <t>32.1.4.10.</t>
  </si>
  <si>
    <t>Prekybos žmonėmis, smurto artimoje aplinkoje prevencija ir pagalbos teikimas nukentėjusiems asmenims</t>
  </si>
  <si>
    <t>Reikalingos lėšos mokymams organizuoti, paslaugoms pirkti</t>
  </si>
  <si>
    <t>32.1.4.11.</t>
  </si>
  <si>
    <t>Užimtumo skatinimo ir motyvavimo paslaugų nedirbantiems ir socialinę paramą gaunantiems asmenims modelio įgyvendinimo projekto įgyvendinimas</t>
  </si>
  <si>
    <t>32.1.4.12.</t>
  </si>
  <si>
    <t>Garantijų nuomininkams, iškeldintiems iš savininkams grąžintų namų, vykdymas</t>
  </si>
  <si>
    <t>2,2 paslaugoms (padengti būsto nuomos išlaidas nuomininkams 2023-08-02 sav. adm. direktoriaus šsakymu Nr. DV-654 patvirtinti nauji dvigubai didesni nuomos mokesčio dydžiai, 7 asmenims, iškeldintiems iš savininkams grąžintinų  namų.</t>
  </si>
  <si>
    <t>32.1.4.13.</t>
  </si>
  <si>
    <t>Akredituotos vaikų dienos socialinės priežiūros organizavimas, teikimas ir administravimas</t>
  </si>
  <si>
    <t>25 vaikų su negalia*60,0 Eur/mėn*12=18,0+153 vaikų*32,50*12=59,67, viso-77,67</t>
  </si>
  <si>
    <t>32.1.4.14.</t>
  </si>
  <si>
    <t>Tarpinstitucinio koordinatoriaus veiklos vykdymas</t>
  </si>
  <si>
    <t>32.1.4.15.</t>
  </si>
  <si>
    <t>Kompleksinių paslaugų šeimai organizavimas ir teikimas Bendruomeniniuose šeimos namuose (VšĮ Alytaus miesto bendruomenės centras</t>
  </si>
  <si>
    <t>32.1.4.16</t>
  </si>
  <si>
    <t>Socialinių dirbtuvių paslaugos teikimas įgyvendinant projektą „Perėjimas nuo institucinės globos prie bendruomeninių paslaugų Sostinės regione, Vidurio ir Vakarų Lietuvos regione“</t>
  </si>
  <si>
    <t>Numatytas prisidėjimas (individualios priežiūros darbuotojui, soc. darbuotojui+dirbtuvių išlaikymui</t>
  </si>
  <si>
    <t>32.1.5.</t>
  </si>
  <si>
    <t>Užtikrinti bendruomenės saugumą</t>
  </si>
  <si>
    <t>32.1.5.01.</t>
  </si>
  <si>
    <t>Saugios savivaldybės koncepcijos įgyvendinimas</t>
  </si>
  <si>
    <t xml:space="preserve">45,0 vaizdo kamerų priežiūrai ir remontui </t>
  </si>
  <si>
    <t>Buvo planuota serverinei vaizdo kamerų sistemos įrangai, kuri bus įsigyta 2023 m.</t>
  </si>
  <si>
    <t>32.1.5.02.</t>
  </si>
  <si>
    <t>Ekstremaliųjų situacijų ir (arba) įvykių prevencija bei pasekmių likvidavimas</t>
  </si>
  <si>
    <t>Ekstremaliųjų situacijų ir (arba) įvykių prevencijai bei pasekmių likvidavimui</t>
  </si>
  <si>
    <t>32.1.5.03.</t>
  </si>
  <si>
    <t>Civilinės saugos administravimas</t>
  </si>
  <si>
    <t>32.1.5.04.</t>
  </si>
  <si>
    <t>Mobilizacijos, demobilizacijos, priimančios šalies paramos administravimas</t>
  </si>
  <si>
    <t>32.1.5.05.</t>
  </si>
  <si>
    <t>Teritorijų, kuriose būtina įgyvendinti triukšmo prevencijos ir mažinimo priemones, nustatymas ir įgyvendinimas</t>
  </si>
  <si>
    <t xml:space="preserve">10,0 triukšmo prevencijos mažinimui </t>
  </si>
  <si>
    <t>32.1.5.06</t>
  </si>
  <si>
    <t>Prevencinės programos „Saugi bendruomenė – saugus ir aš“ įgyvendinimas</t>
  </si>
  <si>
    <t>32.1.05.07</t>
  </si>
  <si>
    <t>Gaisrų prevencijos Alytaus miesto savivaldybėje 2023-2025 metų programos įgyvendinimas</t>
  </si>
  <si>
    <t>Gaisrų prevencijos Alytaus miesto savivaldybėje 2023-2025 metų programos įgyvendinimas (patvirtinta tarybos)
80,0 įrengti VšĮ Alytaus   Kultūros centre gaisrinės signalizacijos ir gesinimo sistemas</t>
  </si>
  <si>
    <t>32.2.</t>
  </si>
  <si>
    <t xml:space="preserve">Užtikrinti efektyvų viešąjį administravimą </t>
  </si>
  <si>
    <t>32.2.1.</t>
  </si>
  <si>
    <t>Didinti savivaldybės valdymo efektyvumą ir teikiamų paslaugų kokybę</t>
  </si>
  <si>
    <t>32.2.1.01.</t>
  </si>
  <si>
    <t>Savivaldybės administracijos valdymo ir administracinės naštos mažinimo priemonių įgyvendinimas</t>
  </si>
  <si>
    <t>DU 4956,4
155,1 darbdavio parama (-40,0)
85,4 Sodra (+24,6)
1,4 paslaugoms
32,0 komandiruotėms 
25,0 kvalifikacijai 
10,0 ekspertų paslaugoms
10,0 draudimo paslaugoms
165,0 teismų išlaidoms (8,0 tūkst. UAB Eltida dėl žalos atlyginimo, delspinigų ir netesybų, bylos nagrinėjimas nepradėtas, progn. II ketv.; 26,0 tūkst. A. Galakvoščius dėl koeficiento peržiūrėjimo, pirmos instancijos teismas priteisė, progn. I ketv.; 131,0 tūkst. VšĮ Futbolo akademija dėl tarybos neveikimo ir vilkinimo atlikti veiksmus nagrinėjamas vyr. adm teisme)
3,0 korupcijos mokymams 
4,0 asmens duomenų apsaugos sistemos priežiūrai
5,1 viešųjų pirkimų teisinėms konsultacijoms
12,0 pašto išlaidoms 
10,0 (+5,0) pagal kolektyvinę  sutartį sveikatinimui
20,0 priimamojo vizijai parengti</t>
  </si>
  <si>
    <t>DU 929,3 sumažinta balansuojant biudžetą</t>
  </si>
  <si>
    <t>32.2.1.02.</t>
  </si>
  <si>
    <t>Savivaldybės administracijos vidaus ūkio priežiūra</t>
  </si>
  <si>
    <t>49,7 transporto išlaikymui 
15,0 pastato remontui pagal tech. pr. aktus
40,0 kabinetų remontui pagal skyrių paraiškas
65,0 komunalinės išlaidos (-81,2)
52,0 reprezentacijai
61,0 kitoms prekėms ir paslaugoms (+8,0)
0,6 palūkanos
5,0 automobilio lizingas</t>
  </si>
  <si>
    <t>2 mėn. komun 16,3;
50,0 remontui (priimamojo remontui)
69,0 kitoms prekėms ir paslaugoms (baldai, kėdės pagal vedėjų paraiškas, priimamojo baldai)</t>
  </si>
  <si>
    <t>32.2.1.03.</t>
  </si>
  <si>
    <t>Informacinės sistemos modernizavimas, priežiūra  ir plėtra savivaldybės institucijose</t>
  </si>
  <si>
    <t xml:space="preserve">10,0 ryšiams (+3,0)
1,0 remontui (+0,2)
187,9 IRT priežiūrai (+5,9)
1,0 RC duomenims
0,0 kompiuterinei įrangai 
45,1 programinei įrangai (+11,2 padidėjo licencijų kainos) </t>
  </si>
  <si>
    <t>51,3 IRT priežiūrai (monitoriai, telefonai, spausdintuvai, 15,0 elektroninio pašto sistemos talpinimas VDC, 8,0 tarybos posėdžių IS atnaujinimas, 5,0 klientų srautų bei įeigos kontrolės IS priežiūros paslaugos, 8,6 kita)
48,0 kompiuterinei įrangai (18 vnt. 30,0 tūkst. nešiojami komp., 2 vnt.  12,0 tūkst. nepertraukiamo maitinimo šaltiniai serverinei patalpai, 4 vnt. 6,0 tūkst. mobilūs telefonai)
115,5 programinei įrangai  (20,0 robotizavimui, 58,0 kapinių skaitmeninimui,  7,5 IS Parama, 12,0 kelio dangų valdymo aplikacija, 10,0 Axence tinklo įrenginių, DV stebėsenos IS atnaujinimas, 14,0 50 vnt. MS Exchange CAL)</t>
  </si>
  <si>
    <t>32.2.1.04.</t>
  </si>
  <si>
    <t>Paraiškų, investicijų projektų, galimybių studijų, tyrimų, analizių, planų ir kitos projektinės dokumentacijos rengimas</t>
  </si>
  <si>
    <t>Siekiant įgyvendinti Alytaus miesto ir regiono strateginiuose planavimo dokumentuose numatytus veiksmus, planuojamos lėšos (40 tūkst. Eur) Investicijų projektų (IP) rengimui: 
1.	„Ikimokyklinio ugdymo sąlygų gerinimas ir prieinamumo didinimas“,
2.	„Alytaus Jaunimo parko ir aplinkinės teritorijos atgaivinimas“, 
3.	„Alytaus Sveikatos tako teritorijos ir prieigų (Kepyklos g.)  atgaivinimas“,
4.	„Alytaus miesto bendrojo ugdymo mokyklų paslaugų prieinamumo didinimas“,
5.	„Alytaus pramonės parko funkcionalumo didinimas“, 
6.	„Nemuno pakrantės teritorijos funkcionalumo didinimas“, 
7.	„VšĮ Alytaus sporto ir rekreacijos centro teikiamų paslaugų plėtra“, 
8.	„Pirmojo Alytaus pramonės zonos infrastruktūros plėtra ir pritaikymas pakitusiems verslo poreikiams“, 
9.	„Alytaus A. Jonyno ir Audėjų gatvių komercinės teritorijos infrastruktūros įrengimas“, 
10.	„Verslo plėtros skatinimas“, 
11.	„Alytaus Vidzgirio mikrorajono viešųjų erdvių humanizavimas“. 
Lėšos didėja dėl naujame programavimo periode („Naujos kartos Lietuva“) pradedamų rengti suplanuotų projektų ir jiems privalomų pridedamų dokumentų (IP).</t>
  </si>
  <si>
    <t>32.2.1.05.</t>
  </si>
  <si>
    <t>Teikiamų paslaugų procesų tobulinimo ir asmenų aptarnavimo kokybės gerinimo Alytaus miesto savivaldybės administracijoje ir jai pavaldžiose įstaigose projekto vykdymas</t>
  </si>
  <si>
    <t>32.2.1.06.</t>
  </si>
  <si>
    <t>„TechRevolution 2.0“ projekto vykdymas</t>
  </si>
  <si>
    <t>32.2.1.07.</t>
  </si>
  <si>
    <t>Savivaldybės skolinių įsipareigojimų vykdymas</t>
  </si>
  <si>
    <t>32.2.1.08.</t>
  </si>
  <si>
    <t>Savivaldybės mero rezervo lėšų tikslingas panaudojimas</t>
  </si>
  <si>
    <t>32.2.1.09.</t>
  </si>
  <si>
    <t>Efektyvaus turto valdymo sistemos sukūrimas ir įgyvendinimas</t>
  </si>
  <si>
    <t xml:space="preserve">5,0 ekspertų konsultcijoms
25,0 prekėms ir paslaugoms, lėšos bus naudojamos sudaryti nekilnojamojo turto kadastro duomenų bylas ir tikslinti kadastro duomenis, registruoti nekilnojamojo turto nuosavybės teises, organizuoti turto saugojimą, draudimą, vertinimą, likvidavimą ir kt.
</t>
  </si>
  <si>
    <t>30,0 prekėms ir paslaugoms, lėšos bus naudojamos sudaryti nekilnojamojo turto kadastro duomenų bylas ir tikslinti kadastro duomenis, registruoti nekilnojamojo turto nuosavybės teises, organizuoti turto saugojimą, draudimą, vertinimą, likvidavimą ir kt.
50,0 turtui (+1,0) (Miklusėnų g. 36 stogo keitimui, kita trūkstama suma būtų mokama iš negyvenamųjų patalpų nuomos lėšų)</t>
  </si>
  <si>
    <t>32.2.1.10.</t>
  </si>
  <si>
    <t>Savivaldybės įstaigų bendrųjų funkcijų centralizuotas atlikimas</t>
  </si>
  <si>
    <t>479,5 DU
8,3 Sodra (+1,1)
0,0 medikamentai (-0,4)
0,6 ryšiai (+0,3)
0,1 komandiruotes (-0,1)
0,5 remontui (+0,2)
3,4 kvalifikacijai (+0,4)
3,1 komunalinės išlaidos (+0,2)
5,0 IRT priežiūrai (+1,0)
10,0 prekėms ir paslaugoms (+3,6)
7,0 darbdavių soc. Parama pinigais (+3,0)</t>
  </si>
  <si>
    <t>2 mėn. DU 95,9;                 2 mėn. komun. 0,6</t>
  </si>
  <si>
    <t>32.2.1.11.</t>
  </si>
  <si>
    <t>Savivaldybės įmonių ir įstaigų valdymo efektyvumo didinimas</t>
  </si>
  <si>
    <t>32.2.1.12.</t>
  </si>
  <si>
    <t>Apleistų pastatų ir kitų objektų stebėsena</t>
  </si>
  <si>
    <t>32.2.1.13.</t>
  </si>
  <si>
    <t>Valstybinių (valstybės perduotų savivaldybėms) funkcijų vykdymas ir administravimas</t>
  </si>
  <si>
    <t>6,9 santuokų apeigoms (3,2 muzikantų paslaugos, 2,0 salės nuoma)
15,0 Vokeliai antklodės, albumai kūdikiams pagal tarybos sprendimu patvirtintą aprašą</t>
  </si>
  <si>
    <t>Vokeliai antklodės, albumai kūdikiams pagal tarybos sprendimu patvirtintą aprašą</t>
  </si>
  <si>
    <t>32.2.1.14</t>
  </si>
  <si>
    <t>Savivaldybės tarybos veiklos užtikrinimas</t>
  </si>
  <si>
    <t>DU 392,0 tūkst. Eur; 
6,9 tūkst. eur  Sodrai; 
10,0 tūkst. Eur komandir.
3,1 tūkst. Eur. kvalifikacijai
3,0 tūkst. seimo nario patalpų nuomai.</t>
  </si>
  <si>
    <t>2 mėn. DU 82,0; kvalifikacija-6,9 tūkst. Eur.</t>
  </si>
  <si>
    <t>32.2.1.15</t>
  </si>
  <si>
    <t>Kontrolės ir audito tarnybos veiklos užtikrinimas</t>
  </si>
  <si>
    <t>88,3 tūkst. eur DU
1,6 tūkst. eur Sodra
4,7 darbdavių parama
0,7 tūkst. eur ryšiams
2,9 tūkst. eur transporto išlaik.
0,8 tūkst. eur  komandir.
1,2 tūkst. eur  kvalifikac.
3,4 tūkst. eur  komunalin.
1,3 tūkst. eur prekėms ir paslaugoms</t>
  </si>
  <si>
    <t>2 mėn. DU 17,7</t>
  </si>
  <si>
    <t>2024 m. išlaidų (8 stulpelio) detalizavimas, didėjimo (skirtumo) pagrindimas ir paskaičiavimai</t>
  </si>
  <si>
    <t>L: 159..;3..;148..;</t>
  </si>
  <si>
    <t>SUMANIOS IR PILIETIŠKOS VISUOMENĖS UGDYMO PROGRAMA</t>
  </si>
  <si>
    <t>33.1.</t>
  </si>
  <si>
    <t>Didinti gyventojų laisvalaikio užimtumo galimybes</t>
  </si>
  <si>
    <t>33.1.1.</t>
  </si>
  <si>
    <t>Padidinti kultūros produktų įvairovę, kokybę ir prieinamumą</t>
  </si>
  <si>
    <t>33.1.1.01.</t>
  </si>
  <si>
    <t>Informacijos ir komunikacijos galimybių plėtojimas J. Kunčino viešojoje bibliotekoje</t>
  </si>
  <si>
    <t>DU+SODRA 10 mėn. - 534 tūkst.Eur. Išeitinės ir darbdavio soc.parama-15,0 tūkst. Eur
Komunaliniams 10 mėn -29,7 tūkst. Eur (šildymas- 16,0; elektra- 16,9; vanduo - 1,4; šiukšlių išvežimas- 1,4);  Sutartiniai įsipareigojimai- 7,9 (apsauga - 1,0; šilumos s-mų priežiūra-0,7; pastatų ekspoatacijos išlaidos butų ūkiui-2,5; pastatų draudimas-0,3; kortelių skaitytuvas-0,2; Ryšiai - 2,0,; Ilgalaikio turto nuoma-1,2;). Didėjimas 67,0 tūkst. eurų: 33,0 tūkst.Eur (kultūros darbuotojų  (28,0) ir padidinimas iki min. koeficiento (5,0)); 3,5 tūkst. Eur (MMA pakėlimas); 15,5 tūkst. Eur ( 2023 darbo užmokesčiui patvirtintas planas 11,5 mėn, o 2024 skaičiuojame 12 mėn.), iešitinės ir soc. parama 15,0 tūkst. Eur</t>
  </si>
  <si>
    <t xml:space="preserve">2 mėn. DU 104,9; 2 mėn. komumaliniai 6; Inform. techn. prekėms ir pasl.-1,5;  Sutartiniai mokėjimai- 12,1 (LIBIS - 3,1; prenumerata -9,0);  švaros prekės-1,2; atsitiktiniai darbai-0,8   transporto išlaikymas-0,8.  </t>
  </si>
  <si>
    <t>Drėgmės surinkėjai knygų saugykloms-2,1 tūkst.Eur; Vaikų bibliotekos langų žaliuzės-2,6; internetinės svetainės atnaujinimas-6,0</t>
  </si>
  <si>
    <t>33.1.1.02.</t>
  </si>
  <si>
    <t>Alytaus kraštotyros muziejaus veiklos užtikrinimas</t>
  </si>
  <si>
    <t>10 mėn. DU+SODRA -434,1 tūkst. Eur . Komunaliniams-  47,2  tūkst. Eur.  Sutartiniai įsipareigojimai- 10,5 tūkst. eur (apsauga-1,0, šilumos sistemų priežiūra-0,6 tūkst. eur, pastatų eksplotacijos priežiūra- 5,1 tūkst. eur, kilimėliai-0,4 tūkst. eur, ryšiai-1,8 tūkst. eur, kuras-1,6 tūkst. eur) , darbdavio soc. parama -1,7 tūkst. eur.  Didėjimas 96,1 tūkst. eur ( DU didėjimas- 27,6 tūkst. eur, 2023m. buvo planuota 11,5 mėn., o 2024 m. suplanuota 12 mėn., 2023 m. DU ir kitoms išlaidoms duota iš kito lčšų šaltinio 1591 (48,0 tūkst. eur), o dabar šios lėšos įskaitomos į 15101 lėšas)</t>
  </si>
  <si>
    <t>2 mėn. DU 85,4; komunaliniai 9,4. Darbuotojų sveikatos patikra-0,4 tūkst. eur, transporto išlaidos-2,4 tūkst. eur (remontas, draudimas, TA), komandiruotės-1,0 tūkst. eur, kvalifikacijos kėlimas- 2,5 tūkst. eur, viešinimo išlaidos-2,0 tūkst. eur,  informacinių techn. prekės ir pasl.-2,2 tūkst. eur, prekės ir paslaugos- 48,0 eur</t>
  </si>
  <si>
    <t>Ilgalaikis turtas-15,0 tūkst. eur (kompiuteris, muziejinės vertybės, muz. vertybių saugojimo spintos, baldai), remontas- 10,0 tūkst. eur</t>
  </si>
  <si>
    <t>33.1.1.03.</t>
  </si>
  <si>
    <t>Alytaus miesto teatro profesionaliojo meno plėtojimas</t>
  </si>
  <si>
    <t>10 mėn. DU+SODRA - 647,3 tūkst. Eur. Komunaliniams - 86,8 tūkst. Eur. Darbdavių socialinė parama - 13,0 tūkst. Eur.  darbdavių soc. parama- 2,0 tūkst. eurų.</t>
  </si>
  <si>
    <t>2 mėn. DU 100,2, 2 mėn komunaliniai 17,4; Remontui (aikštelės šalia teatro asfaltavimui 192 kv.m.) - 6,8; Informacinėms technologijoms - 1,0; Viešinimui (Miesto dienos, Valstybės diena, Teatrų festivalis renginių viešinimui) - 1,0; Komunaliniams - 13,7 (šildymui - 4,0; elektrai - 9,7); IT įsigijimui (mažosios salės šoninės, priekinės ir žemųjų dažnių akustinės sisitemos įsigijimui) - 21,3;</t>
  </si>
  <si>
    <t>33.1.1.04.</t>
  </si>
  <si>
    <t>Kino meno sklaidos vykdymas „Dainavos“ kino teatre</t>
  </si>
  <si>
    <t xml:space="preserve">Lėšos reikalingos įgyvendinti suplanuotus kino teatro remonto ir modernizavimo darbus pagal perengtą projektą pirmo aukšto (atnaujinta didžioji kino salė, įrengta daugiau sėdimų vietų, atnaujinta foje, tualetai, erdvės labiau pritaikomos neįgaliesiems) ir antro aukšto (įveiklintos apleistos antojo aukšto patalpos: įrengtos dvi nedidelės kino salės, vaikų žaidimų ir edukacijų erdvė) remonto ir modernizavimo darbams . Projekto sąmatoje numatyta - statinio architektūra (143 tūkst.), statinio konstrukcijos (200 tūkst.), vandens nuotekų šalinimas (37 tūkst.), šildymas, vėdinimas, oro kondicionavimas (59 tūkst.), elektrotechnika (94 tūkst.). </t>
  </si>
  <si>
    <t>33.1.1.05.</t>
  </si>
  <si>
    <t>Kultūros paslaugų  ir meno mėgėjų veiklos plėtojimas VšĮ  Alytaus kultūros centre</t>
  </si>
  <si>
    <t xml:space="preserve">DU+SODRA - 424 tūkst. Eur. Darbdavių soc. parama –  4,5 tūkst. Eur. Komunaliniams - 84,8. </t>
  </si>
  <si>
    <t xml:space="preserve">2 mėn. Du 82,8, 2 mėn. komunaliniai 17; </t>
  </si>
  <si>
    <t>33.1.1.07.</t>
  </si>
  <si>
    <t>Projekto „Kuriant tiltus: turizmo ir kultūros vystymas Sovetsko ir Alytaus regionuose“ įgyvendinimas Alytaus miesto teatre</t>
  </si>
  <si>
    <t>33.1.1.08.</t>
  </si>
  <si>
    <t>Projekto „Žmonių galia partnerystėje“ Alytaus miesto teatre įgyvendinimas</t>
  </si>
  <si>
    <t>33.1.1.09.</t>
  </si>
  <si>
    <t>Bendruomenės saviraiškos ir kultūrinės iniciatyvos skatinimas, bendruomenei aktualių renginių organizavimas</t>
  </si>
  <si>
    <t>KuS įsipareigojimai pagal teisės aktus ir sutartis – 23,7 tūkst. Eur:  2023 m. Kalėdų karuselės paslauga-4,9;  kultūros premijos - 7,5, jaunųjų menininkų stipendijos-7,2, kultūros premijų ženklai -0,6; Šv. Jokūbo kelio asociacijos mokestis-0,5; gėlės-3,0. Kitas KuS veiklai – 19,1 tūkst. Eur: Šv. Jokūbo festivalis-2,2, Vasaros kino filmai-5,0; elektros priežiūra renginių metu-1,2; projektų "Kino stovyklos"ir "Kinas veža" dalyvių apgyvendinimas ir maitinimas-4,5; kino filmų demonstravimo paslaugos pirkimas-1,7; Kalėdų senelio apsilankymai- 2,5;  kalėdinės edukacijos-2,0. Bibliotekos 4 projektų kofinansavimui – 12,1 tūkst. Eur: "Skaitykla tavo kieme"-1,8,  "Aitvaro fenomenas"-2,2; "Kas pasakė..?"-1,8;  "Imbiero vakarai"-6,3. Muziejaus 4 projektų kofinansavimui – 4,9 tūkst. Eur: "Litvakų dailininkai. samuelis Tacas"-1,3; "Archeologinių radinių restauravimas.."-1,3;  muzikos festivalis "Tribe ice cream"-1,1; "Paroda "pirma nuotrauka gyvenime"-1,2. Muziejaus renginiams – 8,0 tūkst Eur: Muziejų naktis-3,0, renginiai Audio vizuliųjų menų centre-3,0.; parodos AKM -2,0. Teatro renginiai –20,0 tūkst. Eur: COM*MEDIA-10.0; Mindaugo karūnavimo diena-5,0; renginių ciklas "Kultūros įskiepiai Žaliojoj gatvėj"("Žalioji vakarienė")-5,0.  AKC 4 projektų kofinansavimui – 15,0 tūkst. Eur: Dzūkų dainų ir šokių šventė-5,0; Dainavos šalies uzikos festivalis-4,0; Alytaus džiazo festivalis-3,5; alternatyvios muzikos projektas "AlterNOVA"-2,5; Kiti AKC renginai-46,0 tūkst. Eur : Eglutės įžeibimo šventė-15,0; Jaunimo muzikos vakarai "Gardas"-6,5; senjorų naktišopkiai- 8,0;  valstybinės šventės ir atmintinos datos- 16,5.</t>
  </si>
  <si>
    <t>KuS poreikis - 25,0; tūkst. Eur: maitinimas (miesto šventės furšetas, senjorų diena). Bibliotekos 5 projektų kofinansavimui – 6,6 tūkst. Eur: (Ne)prarasti istorijos fragmentai"-1,5; "A. Antanavičiaus knygos leidyba"-1,4; "A.Saulyno knygos leidyba"-1,4; "J. Kunčino kūrybos aktualizavimas"-1,0;  festivalis jaunimui  "Nuo ART'isto iki Me(n)talisto“-1,3; Muziejaus parodom sorganizuoti  – 2,0 tūkst Eur.  Teatro renginiai –106,0 tūkst. Eur: miesto šventė -100,0; festivalis COM*MEDIA-2.0; Mindaugo karūnavimo diena-1,0; Teatro- Kalėdų senelio rezidencija -3,0;  Kiti AKC renginai-40,0 tūkst. Eur : Eglutės įžeibimo šventė-10,0; miesto šventė-20,0;   Senjorų diena-3,5; cirko festivlais-3,5; Vasaros fontano renginys-3,0.</t>
  </si>
  <si>
    <t>KuS – 48,2: žiemos renginiai -40,0; gėlės-1;suvenyrai-1,0; tarnsportas-3,0, apgyvendinimas-2,0; akcija "Ištark.išgirsk"-1,0; žvakės-0,2 Muziejaus -0,7: Poezijos pavasaris-0,5; konferencija "Sąjūdis Alytuje"-0,2; AKC kitų atmintinų  datų renginiai- 2,4</t>
  </si>
  <si>
    <t>33.1.1.10.</t>
  </si>
  <si>
    <t>Religinių bendruomenių rėmimas</t>
  </si>
  <si>
    <t>Konkursinio finansavimo būdu remtinos 1-5 religinės bendruomenės (bažnyčios)</t>
  </si>
  <si>
    <t>33.1.1.11</t>
  </si>
  <si>
    <t>Alytaus J. Kunčino bibliotekos projekto „Pasienio bendruomenių išmintis ir augimas“ įgyvendinimas</t>
  </si>
  <si>
    <t xml:space="preserve">Vykdant projektą reikalingos apyvartinės lėšos (dviejų patalpų atnaujinimas, baldų, įrangos atnaujinimas, minkštųjų veiklų įgyvendinimas: stovyklos, susitikimai skirtingo amžiaus dalyviams, kūrybinės edukacijos). Prekių ir paslaugų įsigijimui -70,0 (trumpalaikis turtas, apdailos darbai, apšvietimo atnaujinimas); kompiuterinei  techninei įrangai-8,2; kitai įrangai (ilgalaikis turtas) - 27,7; DU ir soc. draudimui -10,1.        </t>
  </si>
  <si>
    <t>33.1.1.12</t>
  </si>
  <si>
    <t>Alytaus kraštotyros muziejaus projekto „Kelias į prisiminimų begalybę“ įgyvendinimas</t>
  </si>
  <si>
    <t xml:space="preserve">Vykdant projektą reikalingos apyvartinės lėšos (įsigyti muziejui reikalingą įrangą (2 fotoaparatai su objektyvais, 3 mikrofonai, 3 fotostovai, 3 šviestuvai, filmavimo ir įrašymo įranga, garso sistema, akustinės sienelės, akustinis pianinas), sėdmaišiai, lauko stendai keliaujančiai parodai, rinkodaros strategijai parengti, dviejų dienų dainuojamosios poezijos tarptautiniam vakarui surengti ir kt.
DU – 9,8, paslaugos -32,7,  ilgalaikis turtas-69,2, trumpalaikis turtas -112,96. </t>
  </si>
  <si>
    <t>33.1.2.</t>
  </si>
  <si>
    <t>Užtikrinti etninės kultūros, materialaus ir nematerialaus kultūros paveldo saugojimą, tvarkymą ir aktualizavimą</t>
  </si>
  <si>
    <t>33.1.2.01.</t>
  </si>
  <si>
    <t>Etninės kultūros ir nematerialaus kultūros paveldo tęstinumas, išsaugojimas bei sklaida</t>
  </si>
  <si>
    <t>KuS- 26,2 tūkst. Eur (dalyvavimas Dainų ir šokių šventėje (550 dalyvių, 19 kolektyvų, 12 komandos narių), transportas-10,0; atributika-10,0; apsauga-3,0, apgyvendinimas-3,2.) Muziejaus 4 projektų kofinansavimas – 10,8 tūkst Eur: katalogo "Šiaudas, medis molis..." leidyba-2,1; "nuo Jotvos iki Dzūkijos"-3,9; "Kaip 12 mėnesių šventes šventė"-1,8. "Baltų vienybės diena" 3,0. A. Matučio medžio skulptūrų simpoziumo dalinis finansavimnas-8,0;</t>
  </si>
  <si>
    <t>Muziejaus projekto "Iš seno prado į naują formą" kofinansavimas 2,0; Dainų ir šokių šventės dalyvių apgyvendinimui – 0,8.</t>
  </si>
  <si>
    <t>AKC etnokultūros ir kt. renginiai -4,1: Užgavėnės-0,7; atvelykis-1,0; Trys karaliai-0,4; "Ateik, saulute, su pyragais"-0,5; "Visa Lietuva šoka"-0,5; "atvažiuoj Kalėdos"-1,0. KuS renginiai -5,0 (parodos AMSA -1,5; edukaciniai etnomokymai, populiarinantys audimo meną, margučių marginimą, kryždirbystę-3,5</t>
  </si>
  <si>
    <t>33.1.2.02.</t>
  </si>
  <si>
    <t>Kultūros paveldo objektų priežiūra, tvarkymas, apskaita, populiarinimas ir sklaida</t>
  </si>
  <si>
    <t>1) Namo Jiezno g. 2, Alytuje, tvarkybos (remonto, restauravimo, avarijos grėsmės pašalinimo, apsaugos techninių priemonių įrengimo) darbai  200,2 tūkst. Eur; 2) "Vienbučio gyvenamojo namo A. Matučio g. 8, Alytuje, paprastojo remonto darbai 45 tūkst. Eur; 3) Alytaus piliakalnio laiptų remontas 20 tūkst. Eur;</t>
  </si>
  <si>
    <t>33.1.3.</t>
  </si>
  <si>
    <t>Stiprinti sporto paslaugų potencialą</t>
  </si>
  <si>
    <t>33.1.3.01.</t>
  </si>
  <si>
    <t>Fizinio aktyvumo priemonių įvairovės didinimas</t>
  </si>
  <si>
    <t xml:space="preserve"> Sportininkų premijos, pgl. TS-33,0 tūkst. Eur, transportui 10,5 tūkst. Eur., 35,5 sutarčių vykdymui. </t>
  </si>
  <si>
    <t xml:space="preserve"> Sportininkų premijos, pgl. TS-41,0 tūkst. Eur</t>
  </si>
  <si>
    <t>33.1.3.02.</t>
  </si>
  <si>
    <t>Tarptautinių ir nacionalinių sporto renginių pritraukimas, organizavimas ir finansavimas</t>
  </si>
  <si>
    <t>110 tūkst. eur. - tarptautiniams sporto projektams (Tarptautinis rankinio turnyras „Alytus Cup 2023“-4tūkst.; Baltijos ir Lietuvos plento čempionatas -8 tūkst.; Automobilių „drifto“ varžybos - 8tūkst. Ir kt.)</t>
  </si>
  <si>
    <t>10 tūkst. eur. - sporto projektai.</t>
  </si>
  <si>
    <t>33.1.3.03.</t>
  </si>
  <si>
    <t>Sportinės veiklos projektų finansavimas</t>
  </si>
  <si>
    <t>14,0 tūkst. eur. Neįgaliųjų
 sporto projektai</t>
  </si>
  <si>
    <t xml:space="preserve"> Neįgaliųjų  sporto projektai 4,0 tūkst. Eur.</t>
  </si>
  <si>
    <t>33.1.3.04.</t>
  </si>
  <si>
    <t>Komandinių žaidimų aukšto sportinio meistriškumo programų dalinis finansavimas</t>
  </si>
  <si>
    <t>180 tūkst. eur. - sporto programų finansavimui.</t>
  </si>
  <si>
    <t>320 tūkst. eur. - sporto programų finansavimui.</t>
  </si>
  <si>
    <t>33.1.3.06.</t>
  </si>
  <si>
    <t>Sportinio ugdymo organizavimas VšĮ Alytaus sporto ir rekreacijos centre</t>
  </si>
  <si>
    <t>10 mėn. DU+sodra 1338,6 tūkst. Eur;</t>
  </si>
  <si>
    <t>2 mėn. DU 262,4.        170,0 tūkst. Eur sportiniam darbui: vykti į varžybas kurui, maitinimui, apgyvendinimui, sportiniam inventoriui, sporto atsargoms, aprangai.</t>
  </si>
  <si>
    <t>33.1.3.07.</t>
  </si>
  <si>
    <t>VšĮ Alytaus sporto ir rekreacijos centro sporto bazių aplinkos formavimas ir užtikrinimas</t>
  </si>
  <si>
    <t>10 mėn. DU+sodra 945,0 tūkst. Eur; darbdavio soc. -parama-5,0 tūkst. Eur ;10 mėn. komunalinės-374,2 tūkst. Eur, iš jų- šildymas-223,0 tūkst. Eur; elektra 165,0 tūkst. eur.;vanduo-44 tūkst.Eur; šiukšlės-17 tūkst. Eur.</t>
  </si>
  <si>
    <t>2 mėn. DU 184,0, 2 mėn. Komunaliniai 74,8.  Medikamentai - 1,0 sportininkams varžybų metu vaistai, tvarsčiai; ryšiai-2,0; transportas-10,0 transporto draud. remontas, kuras, TA priež.; apranga,patalynė -2,0; komandiruotės-2,0; kvalifikacija - 5; kitos prekės ir paslaugos - 195,0 tūkst. Eur.</t>
  </si>
  <si>
    <t xml:space="preserve">Turtas - 156,0 tūkst. Eur, iš jų 80,0 tūkst. Eur. bėgimo takų dangos keitimo, atnaujinimas; 43,0 tūkst. Eur. komp.tech. ir elektr. įreng. švieslentė stadionui;                      33,0 tūkst. Eur. tablo, baseino takų atskytimo plūdurai. Remontai - 896,0 tūkst. Eur  baseino zonos praplėtimas-430,0 tūkst. Eur ir  sporto salės parketo pakeitimas 336,3 tūkst. Eur., fasado sienos remontas 20,0 tūkst. Eur., UPS remontas 40,0 tūkst. Eur., tinklinio salės grindų lakavimas 10,5 tūkst. Eur., salės grindų atnaujinimas 10,0 tūkst. Eur., einamieji darbai 50,0tūkst. Eur ; 1,0 tūkst. Eur. reprez. išlaidos ir - 2,0 tūkst. eur. viešinimo išlaidos.  </t>
  </si>
  <si>
    <t>33.1.3.08</t>
  </si>
  <si>
    <t>Projekto „Sporto pasienio regiono – sporto ir sveikos gyvensenos propagavimas pasienio regione“ įgyvendinimas (VšĮ Alytaus sporto ir rekreacijos centras)</t>
  </si>
  <si>
    <t>Projekto apyvartinės lėšos</t>
  </si>
  <si>
    <t>33.2.</t>
  </si>
  <si>
    <t>Teikti besikeičiančios visuomenės poreikius atitinkančias aukštos kokybės ugdymo paslaugas</t>
  </si>
  <si>
    <t>33.2.1.</t>
  </si>
  <si>
    <t>Užtikrinti aukštą ugdymo paslaugų kokybę</t>
  </si>
  <si>
    <t>33.2.1.01.</t>
  </si>
  <si>
    <t>Ikimokyklinio vaikų ugdymo prieinamumo užtikrinimas</t>
  </si>
  <si>
    <t xml:space="preserve">10 mėn. DU+sodra 2394,6 tūkst. Eur; darbdavio soc. -parama-96,8 tūkst. Eur, </t>
  </si>
  <si>
    <t>2 mėn. DU 470,2</t>
  </si>
  <si>
    <t>33.2.1.02.</t>
  </si>
  <si>
    <t>Ikimokyklinio vaikų ugdymo sąlygų sudarymas, ugdymo proceso organizavimo ir valdymo užtikrinimas privačiame darželyje „Vaikystės namelis“</t>
  </si>
  <si>
    <t>33.2.1.03.</t>
  </si>
  <si>
    <t>Ikimokyklinio vaikų ugdymo sąlygų sudarymas, ugdymo proceso organizavimo ir valdymo, švietimo pagalbos užtikrinimas privačiame darželyje „Būžių namelis“</t>
  </si>
  <si>
    <t>33.2.1.04.</t>
  </si>
  <si>
    <t>Priešmokyklinio ugdymo sąlygų sudarymas</t>
  </si>
  <si>
    <t>10 mėn. DU+sodra 161,3 tūkst. Eur; darbdavio soc. -parama-6,3 tūkst. Eur.</t>
  </si>
  <si>
    <t>2 mėn. DU 31,6</t>
  </si>
  <si>
    <t>33.2.1.05.</t>
  </si>
  <si>
    <t xml:space="preserve">Kokybiško bendrojo ugdymo proceso organizavimas ir valdymas </t>
  </si>
  <si>
    <t xml:space="preserve">10 mėn. DU+sodra 599,9 tūkst. Eur; darbdavio soc. -parama-20,7 tūkst. Eur, </t>
  </si>
  <si>
    <t>2 mėn. DU 117,7</t>
  </si>
  <si>
    <t>33.2.1.06.</t>
  </si>
  <si>
    <t>Kokybiško bendrojo ugdymo proceso organizavimas ir valdymas Alytaus šv. Benedikto gimnazijoje</t>
  </si>
  <si>
    <t>10 mėn DU+sodra 35,3 tūkst. Eur; darbdavio soc. -parama-7,1 tūkst. Eur,</t>
  </si>
  <si>
    <t>2 mėn. DU 6,9</t>
  </si>
  <si>
    <t>33.2.1.07.</t>
  </si>
  <si>
    <t>Ugdymo finansavimo poreikių skirtumų tarp mokyklų sumažinimas</t>
  </si>
  <si>
    <t>33.2.1.08.</t>
  </si>
  <si>
    <t>Švietimo sistemos ir mokymo kokybės gerinimas</t>
  </si>
  <si>
    <t>33.2.1.09.</t>
  </si>
  <si>
    <t xml:space="preserve">Ikimokyklinio, priešmokyklinio ir bendrojo ugdymo aplinkos formavimas ir užtikrinimas </t>
  </si>
  <si>
    <t>10 mėn. DU+sodra 5559,4 tūkst. Eur; darbdavio soc. -parama-227,4 tūkst. Eur, 10 mėn. Komunalinės - 1043,2 tūkst. Eur; Mityba, ryšiai, medikamentaiu transportas, IT, už paslaugas-626,0 tūkst. Eur;  AMSA iš viso 96,8 :  STEAM, Maitinimo IS "Valga" nuoma, priežiūra IT funkcionalumo užtikrinimas, draudimas, 2.8 str. sutartys 6,2 tūkst. eur. 
Obelėlė projektas- 10,0 Tūkst. Eur. Likiškėlių progimnazijai stogo, fasado projektas-14,0 tūkst. Eur TS</t>
  </si>
  <si>
    <t>2 mėn, DU 1088,7 tūkst. eur; 2 mėn. komunaliniai 208,7; Turtas - 31,5 tūkst. Eur; remontai - 195,9 tūkst. Eur; reprezentacinės, viešinimo - 14,2 tūkst. Eur; mityba 181,7 tūkst. eur; medikamentai- 14,3 tūkst. Eur; ryšiai-9,8 tūkst. Eur; transportas-19,0 tūkst. Eur; apranga - 28,2 tūkst. Eur; komandiruotės - 12,9 tūkst. Eur; kvalifikacija - 27,3 tūkst. Eur; kitos prekės ir paslaugos - 169,1 tūkst. Eur, IT - 22,9 tūkst. eur. Ekspertų paslaugos 4,4 tūkst. eur</t>
  </si>
  <si>
    <t>33.2.1.10.</t>
  </si>
  <si>
    <t>Alytaus šv. Benedikto gimnazijos aplinkos formavimas ir užtikrinimas</t>
  </si>
  <si>
    <t>10 mėn. DU+Sodra 361,4 tūkst. Eur; darbdavio parama 13,4 tūkst. Eur; 10 mėn. Komunalinės - 81,1 tūkst. Eur.</t>
  </si>
  <si>
    <t>2 mėn. DU 70,6, 2 mėn. komunaliniai 16,2.   Medikamentai-1,3 tūkst. Eur.; mityba 11,4 tūkst. eur; ryšiai - 0,6 tūkst. Eur.; komandiruotės - 0,1 tūkst. Eur.; kvalifikacija - 0,2 tūkst. Eur.; kitos prekės ir paslaugos - 54,0 tūkst. Eur.; IT-2,9 tūkst. Eur.; remontas - 2,5 tūkst. Eur.</t>
  </si>
  <si>
    <t>33.2.1.11.</t>
  </si>
  <si>
    <t>Neformaliojo vaikų švietimo organizavimas, administravimas ir plėtra</t>
  </si>
  <si>
    <t>33.2.1.12.</t>
  </si>
  <si>
    <t>Neformaliojo  vaikų ir suaugusiųjų švietimo finansavimas Alytaus jaunimo centre</t>
  </si>
  <si>
    <t>10 mėn. DU+Sodra 738,2 tūkst. Eur; darbdavio parama 11,1 tūkst. Eur;</t>
  </si>
  <si>
    <t>2 mėn. DU 144,6</t>
  </si>
  <si>
    <t>33.2.1.13.</t>
  </si>
  <si>
    <t>Neformaliojo suaugusiųjų švietimo organizavimas ir koordinavimas</t>
  </si>
  <si>
    <t>10 mėn. DU+Sodra 45,8 tūkst. Eur; darbdavio parama 0,3 tūkst. Eur;kiti sutart. įsipareigojimai-17,0 tūkst. Eur.</t>
  </si>
  <si>
    <t>2 mėn. DU 9. komandiruotės - 0,2 tūkst. Eur; kitos prekės ir paslaugos - 8,0 tūkst. Eur.</t>
  </si>
  <si>
    <t>33.2.1.14.</t>
  </si>
  <si>
    <t>Formaliojo švietimą papildančio ugdymo koordinavimas</t>
  </si>
  <si>
    <t xml:space="preserve">10 mėn. DU+Sodra 1190,5. Darbdavio parama 14,5 tūkst. Eur; </t>
  </si>
  <si>
    <t>2 mėn. DU 226,7</t>
  </si>
  <si>
    <t>33.2.1.15.</t>
  </si>
  <si>
    <t xml:space="preserve">Savivaldybės neformaliojo švietimo įstaigų aplinkos formavimas ir užtikrinimas </t>
  </si>
  <si>
    <t>10 mėn. DU 154,2 Darbdavio parama 2,2 tūkst. Eur; Komunalinės-6,7  tūkst. Eur.</t>
  </si>
  <si>
    <t>2 mėn. DU 30,5. 2 mėn. komunaliniai 1,3</t>
  </si>
  <si>
    <t>33.2.1.16.</t>
  </si>
  <si>
    <t>Alytaus jaunimo centro aplinkos formavimas ir užtikrinimas</t>
  </si>
  <si>
    <t>10 mėn. DU 165,3 ; darbdavio parama 7,1 tūkst. Eur;</t>
  </si>
  <si>
    <t>2 mėn. DU 32,4</t>
  </si>
  <si>
    <t>33.2.1.17.</t>
  </si>
  <si>
    <t>Kauno taikomosios dailės mokyklos Alytaus filialo aplinkos formavimas ir užtikrinimas</t>
  </si>
  <si>
    <t xml:space="preserve">10 mėn. DU+Sodra 63,1. Komunalinės-18,6 tūkst. Eur.   </t>
  </si>
  <si>
    <t>2 mėn. DU 12,4 . 2 mėn. komunaliniai 3,7 . Transporto paslaugos 8,0 tūkst. Eur. Ryšių paslaugos 0,4 tūkst. Eur;  IT-  prekės ir paslaugos 0,5 tūkst. Eur; Kt. prekės ir paslaugos 5,0 tūkst. Eur.</t>
  </si>
  <si>
    <t>33.2.1.18.</t>
  </si>
  <si>
    <t>Ugdymo(si) aplinkos ir turinio diegiant technologines inovacijas visose ugdymo pakopose gerinimas</t>
  </si>
  <si>
    <t>10 mėn. DU 23,6 tūkst. Eur: Ekonomikų akdemija, Lietuvybės centras,  FAB-LAB. Lektroių paslaugos - 5,0 tūkst. Eur. Daarbdavio soc. parama -0,2 tūkst. Eur; Lektorių paslaugos - 4,8 tūkst. Eur.</t>
  </si>
  <si>
    <t>2 mėn. DU 4,6.   Lektorių paslaugos- Ekonomikų akdemija- 2,7 tūkst. Eur, Lietuvybės centras - 2,8 tūkst. Eur.</t>
  </si>
  <si>
    <t>33.2.1.19.</t>
  </si>
  <si>
    <t>Sveikos, saugios ir psichikos sveikatai palankios ugdymo aplinkos formavimas ir užtikrinimas</t>
  </si>
  <si>
    <t xml:space="preserve">10 mėn DU+sodra 59,5 tūkst.eur; darbdavio parama 10,4 tūkst. Eur;  Komunalinės 6,1 tūkst. Eur;
Projektai viso 65,2 tūkst. Eur, iš jų : Šaltinėlis - 13,0; Vyturėlis - 4,3; Girinukas- 3,9; Senamiestis-6,0; Šaltiniai-6,0; Volungė- 10,7; Jotvingiai - 19,1; Dailės mokykla-2,2.
AMSA iš viso 46,0 (Opolė,  Mokinių žaidynės, Soc. Remiamų vaikų stovyklos) 
 </t>
  </si>
  <si>
    <t>2 mėn. DU 11,7 tūkst. Eur; darbdavio soc. parama 0,2 tūkst. Eur; 2 mėn. komunaliniai 1,2.  Turtas - 2,2; (PPT); remontas - 5,0 (PPT); medikamentai - 0,3, ryšiai - 1,9; komandiruotės - 0,5; kvalifikacija - 1,2; kitos prekės ir paslaugos - 16,3; IT-3,1.</t>
  </si>
  <si>
    <t>33.2.1.20.</t>
  </si>
  <si>
    <t>Švietimo pagalbos ugdymo įstaigose organizavimas</t>
  </si>
  <si>
    <t>10 mėn. DU+sodra 978,3 tūkst. Eur; darbdavio soc. -parama-28,0 tūkst. Eur.</t>
  </si>
  <si>
    <t>2 mėn. DU 191,6</t>
  </si>
  <si>
    <t>33.2.1.21.</t>
  </si>
  <si>
    <t>Švietimo pagalbos šv. Benedikto gimnazijoje organizavimas</t>
  </si>
  <si>
    <t>33.2.1.22.</t>
  </si>
  <si>
    <t>Mokinių ugdymosi pasiekimų gerinimo diegiant kokybės krepšelį projekto įgyvendinimas (Alytaus Adolfo Ramanausko-Vanago gimnazija)</t>
  </si>
  <si>
    <t>33.2.1.23.</t>
  </si>
  <si>
    <t>Iniciatyvos „Studijuok Alytuje“ įgyvendinimas</t>
  </si>
  <si>
    <t>Studijuojančių asmenų skatinimui.</t>
  </si>
  <si>
    <t>33.2.1.24</t>
  </si>
  <si>
    <t>Karjeros specialistų tinklo vystymo projekto įgyvendinimas</t>
  </si>
  <si>
    <t>33.2.1.25</t>
  </si>
  <si>
    <t>Projekto „Tūkstantmečio mokyklos II“ įgyvendinimas</t>
  </si>
  <si>
    <t>33.2.1.26</t>
  </si>
  <si>
    <t>Projekto „Alytaus regiono savivaldybių švietimo sistemos skaitmeniniai sprendimai“ įgyvendinimas</t>
  </si>
  <si>
    <t>33.2.2.</t>
  </si>
  <si>
    <t>Skatinti bendruomeniškumą ir bendrystę</t>
  </si>
  <si>
    <t>33.2.2.01.</t>
  </si>
  <si>
    <t xml:space="preserve"> Švietimo bendruomenės telkimas ir veiklos organizavimas </t>
  </si>
  <si>
    <t>Transportas 18,3 tūkst. Eur; 10 mėn.; .19,5 tūkst. - Mokytojų premijos 7*3*924=19,5 (2024 m. dėl MMA 1800 eurų); 2,2 ūkst. Eur - Plunksnos (100 eurx 7=700); šimtukininkus paruošusiems mokytojams apdovanojimai, padėkos, dovanėlės (1300 Eur).</t>
  </si>
  <si>
    <t>Transportass 3,7 +5,0 tūkst. Eur - 2023 m. iš viso pavežėjimų įolimpiadas, konkursus 56 kartai ir Dainų šventei transportas.Tarptautinės mokytojų dienos paminėjimas 4,6 tūkst. Eur:   Mokinių respublikinė dainų šventė - 21,0 tūkst. Eur. Mokinių ir juos parengusių mokytojų pagerbimo šventė už „Alytaus vardo garsinimą“ mokslo, meno, sporto srityje - 3,8 tūkst. Eur : 180 Taurių pagerbti mokytojams; 
1500 medalių neformalaus ugdymo (Jaunimo centras, Muzikos mokykla), bendrojo ugdymo mokyklų mokiniai, kurie pasiekė aukštų rezultatų meninėje ir dalykinėje srityse (čia būtų skaičuojami ikimokyklinis, pradinis ir kt. ugdymas). Draugų pasaulis-4,0 tūkst. Eur. Šimtukus gavusių mokinių ir mokinių tėvų ir juos parengusių mokytojų pagerbimo šventė - 10,0 tūkst. Eur (už šimtuką po 100 eurų). Švietimo biudžetinių ir viešųjų įstaigų vadovų, mokytojų ir specialistų šventinė sueiga, konferencija, forumas 5,0 tūkst. Eur. Sportinėms mokinių varžyboms taurės,
 medaliai -  5,0 tūkst. Eur.  Olimpiadų, konkursų nugalėtojų apdovanojimai, gėlės, kanceliarinės - 11,0 tūkst. Eur ( Sveikinimui mokytojo dienos proga,
 išleidžiant į pensiją vadovus, pristatant darbe naujus vadovus,sveikinimams mokytojams garsinantiems Alytaus miesto vardą). Padėkos -3,0 tūkst. Eur, parengtos  ir skirtos vedėjo įsakymumokiniams, mokytojams, vadovams (mokytojams už ilgametį darbą, pasiektus  puikius mokinių rezultatus,dalyvavimą olimpiadose, konkursuose ir užėmusiems prizines vietas (I-III vietos). Jotvingių gimnazijos verslumo projektai - 3,0 tūkst. eur pgt TS.</t>
  </si>
  <si>
    <t>33.2.2.02.</t>
  </si>
  <si>
    <t>Jaunimo iniciatyvos skatinimas</t>
  </si>
  <si>
    <t>Jaunimo savanoriška tarnyba- 6,2 tūkst. Eur(SADM 2018-06-22 įsakymas Nr. A1-317); mokymai-4,4 tūkst. Eur; Jaunimo vasaros akademijos startinis mokestis- 0,6 tūkst. Eur; Transporto paslauga- 3,0 tūkst. Eur; Jaunimo iniciatyvos-8,0 tūkst. Eur; premijos-6,0 tūkst. Eur.</t>
  </si>
  <si>
    <t>Jaunimo projektai - 25,0 tūkst. Eur Alytaus miesto savivaldybės 2022-12-22 tarybos sprendimas Nr. T-390;</t>
  </si>
  <si>
    <t>33.2.2.03.</t>
  </si>
  <si>
    <t>Jaunimo politikos įgyvendinimas</t>
  </si>
  <si>
    <t>33.2.2.04</t>
  </si>
  <si>
    <t>Vaikų ir jaunuolių pilietinio sąmoningumo skatinimas ir įtrauktis (savivaldybės finansuojamo dalyvaujamojo biudžeto modelio taikymo ir kt.)</t>
  </si>
  <si>
    <t>6,0 tūkst. Eur - Alytaus miesto savivaldybės 2023-09-28 tarybos sprendimas T-266.</t>
  </si>
  <si>
    <t>33.2.2.05.</t>
  </si>
  <si>
    <t>Projektinės iniciatyvos „Tau Alytau“ projektų finansavimas</t>
  </si>
  <si>
    <t>33.2.2.06.</t>
  </si>
  <si>
    <t>Alytaus miesto vietos plėtros strategijos įgyvendinimas</t>
  </si>
  <si>
    <t>33.2.2.08.</t>
  </si>
  <si>
    <t>Profesinio orientavimo ir verslumo skatinimas organizuojant mokymus, verslo pradžios rėmimą</t>
  </si>
  <si>
    <t>finansinis raštingumas pradinių klasių mokytojų</t>
  </si>
  <si>
    <t>33.2.2.09.</t>
  </si>
  <si>
    <t>Savivald. bendruomeninės veiklos rėmimas ir skatinimas</t>
  </si>
  <si>
    <t>Savivald. bendruomeninės veiklos stiprinimas kuriant palankią daugiakultūrę aplinką</t>
  </si>
  <si>
    <t>33.2.3.</t>
  </si>
  <si>
    <t>Stiprinti vietos savivaldą</t>
  </si>
  <si>
    <t>33.2.3.01.</t>
  </si>
  <si>
    <t>33.2.3.02.</t>
  </si>
  <si>
    <t>Tarybos ir mero sekretoriato veiklos užtikrinimas</t>
  </si>
  <si>
    <t>33.2.3.03.</t>
  </si>
  <si>
    <t>33.2.3.04.</t>
  </si>
  <si>
    <t>Bendruomenės iniciatyvos, skirtos gyvenamajai aplinkai gerinti, įgyvendinimas</t>
  </si>
  <si>
    <t xml:space="preserve">73,5 - "Padaužų aikštelė" Jaunimo parke
16 - Miesto sodo techninis projektas
135,5 - A. Matučio parkas (įrengimas)
25 - mažieji projektai
 </t>
  </si>
  <si>
    <t>33.2.3.05.</t>
  </si>
  <si>
    <t>Žmogaus teisių, siekiant užtikrinti asmenų lygybę, lygias galimybes ir nediskriminavimą, įgyvendinimas</t>
  </si>
  <si>
    <t>33.2.3.06.</t>
  </si>
  <si>
    <t>Seniūnaitijų iniciatyvos įgyvendinimas</t>
  </si>
  <si>
    <t>33.3.</t>
  </si>
  <si>
    <t>Didinti miesto investicinį patrauklumą, skatinti verslo plėtrą ir tarptautinį bendradarbiavimą</t>
  </si>
  <si>
    <t>33.3.1.</t>
  </si>
  <si>
    <t>Sudaryti sąlygas gyventojų saviraiškai ir verslumui augti</t>
  </si>
  <si>
    <t>33.3.1.01.</t>
  </si>
  <si>
    <t xml:space="preserve">Verslui teikiamų viešųjų informavimo, konsultavimo ir finansinės paramos paslaugų plėtimas, verslumo ugdymas </t>
  </si>
  <si>
    <t>Smulkaus ir vidutinio verslo skatinimas pagal aprašą T-38 su visai papildymais ir pakeitimais. Mokymai SVV subjektams apie verslo plėtra.</t>
  </si>
  <si>
    <t>33.3.1.02.</t>
  </si>
  <si>
    <t xml:space="preserve">Investicinės aplinkos gerinimas, siūlant verslui naujas, patrauklias teritorijas ir lengvatas </t>
  </si>
  <si>
    <t>Pagal 2019-12-18 tvarkos aprašą T-400, investuotojui skyriamas kompensavimas už žemės sklypo sutvarkymo darbus, aprašo 19 - 23.6 punktai . 2024 metais dėl žemės slypo suvarkymo darbu gali kreiptis investuotojai Textera - 50.000Eur, Kauno grūdai - 200.000Eur, Gilmera - 30.000Eur. Tikslios sumos bus kai pateiks visus patvirtinančius dokumentus.</t>
  </si>
  <si>
    <t>33.3.1.03.</t>
  </si>
  <si>
    <t>Mieste veikiančių verslo įmonių aptarnavimo tobulinimas</t>
  </si>
  <si>
    <t>Bus sukurtas leidinys apie Alytaus verslus skirtas investuotojams pritraukti apie pramonės parką, pramonės zona lietuvių ir anglų kalba. Dalyvavimas parodose ir pristatymas Alytaus verslus. Susitikimai su verslais, verslo forumas, verslo vakarienė.</t>
  </si>
  <si>
    <t>33.3.1.04.</t>
  </si>
  <si>
    <t>Verslo plėtros skatinimas</t>
  </si>
  <si>
    <t xml:space="preserve">Projektavimas ir rangos darbų pradžia. </t>
  </si>
  <si>
    <t>33.3.1.05.</t>
  </si>
  <si>
    <t>Alytaus pramonės parko funkcionalumo didinimas</t>
  </si>
  <si>
    <t>ES projektas
10,8 - DU ir SODRA
109,2 - techninio projekto parengimas ir ekspertizė</t>
  </si>
  <si>
    <t>33.3.1.06.</t>
  </si>
  <si>
    <t xml:space="preserve">Alytaus A. Jonyno ir Audėjų gatvių pramoninės-komercinės zonos verslui palankios infrastruktūros kūrimas   </t>
  </si>
  <si>
    <t>50 - projektavimo paslaugos</t>
  </si>
  <si>
    <t>33.3.1.07.</t>
  </si>
  <si>
    <t xml:space="preserve"> Alytaus Kalniškės gatvės sklypų inžinerinės infrastruktūros sutvarkymas</t>
  </si>
  <si>
    <t>33.3.1.08.</t>
  </si>
  <si>
    <t>Alytaus komercinių ir pramoninių žemės sklypų inžinerinės infrastruktūros sutvarkymas</t>
  </si>
  <si>
    <t xml:space="preserve">ES projektas
9,4 - DU ir SODRA
65,6 - projektavimo paslaugos
</t>
  </si>
  <si>
    <t>3.3.1.09</t>
  </si>
  <si>
    <t>URBACT projekto „City4talent“ įgyvendinimas</t>
  </si>
  <si>
    <t>DU - 6,4 tūkst. Eur.  Komandiruotės - 8,1 tūkst. Eur, prekės ir paslaugos- 14,5 tūkst. Eur; turtas-3,0 tūkst. Eur.</t>
  </si>
  <si>
    <t>33.3.2.</t>
  </si>
  <si>
    <t>Padidinti miesto žinomumą ir turistinį patrauklumą</t>
  </si>
  <si>
    <t>33.3.2.01.</t>
  </si>
  <si>
    <t>VšĮ Alytaus turizmo informacijos centro paslaugų plėtra</t>
  </si>
  <si>
    <t>10 mėn. DU+sodra 43,6    Komunalinės paslaugos 2,8.  Ryšių paslaugos 0,7, Komandiruotės 0,8, Kvalifikacijos kėlimas 0,4; Kompiuterių priežiūra 0,3, Kitos prekės ir paslaugos  12,8</t>
  </si>
  <si>
    <t xml:space="preserve">2 mėn. DU 8,1. 2 mėn komunaliniai 0,5.  </t>
  </si>
  <si>
    <t>33.3.2.03.</t>
  </si>
  <si>
    <t xml:space="preserve">Mažosios architektūros vystymas ir išnaudojimas miesto patrauklumui didinti </t>
  </si>
  <si>
    <t>33.3.2.04.</t>
  </si>
  <si>
    <t>Miesto įvaizdžio formavimo ir komunikacijos strategijos sukūrimas ir įgyvendinimas</t>
  </si>
  <si>
    <t>Savivaldybių asociacijos nario ir regiono plėtros mokesčiai 46,5 tūkst.; 83,5: Miesto šventės viešinimo įgyvendinimas 10,0 reprezentacinės išlaidos 11,0 užsienio svečių maitinimas 8,0 informacijos viešinimas žiniasklaidos priemonėse 19,0 užsienio svečių apgyvendinimas 7,0 maketavimo paslaugos 8,0 mero ataskaitos maketavimas ir spauda 7,0 vizualaus dizaino kūrimo paslaugos 3,5, leidinių, interneto svetainės priežiūros ir navigacijos pagerinimo paslaugos pirkimas 10,0</t>
  </si>
  <si>
    <t>Oro operatoriaus paslaugos 3,5, infoterminalas 14,0</t>
  </si>
  <si>
    <t>33.3.2.05.</t>
  </si>
  <si>
    <t>Projekto „Alytus – Lietuvos kultūros sostinė 2022. Kuriantys tiltus“  programos įgyvendinimas</t>
  </si>
  <si>
    <t>33.3.2.06.</t>
  </si>
  <si>
    <t>Turizmo rinkodaros įgyvendinimas</t>
  </si>
  <si>
    <t>DU + sodra 1,0 tūkst. Eur.</t>
  </si>
  <si>
    <t xml:space="preserve"> Prekės ir paslaugos- 39,0 tūkst. Eur.</t>
  </si>
  <si>
    <t>33.3.2.07.</t>
  </si>
  <si>
    <t>Projekto „Baltijos jūros regiono kultūros perlai atsparesniems miestams ir regionams“ įgyvendinimas</t>
  </si>
  <si>
    <t>DU + sodra 50,3 tūkst. Eur, Komandiruotės - 7,5 tūkst. Eur, prekės ir paslaugos - 27,5 tūkst. Eur</t>
  </si>
  <si>
    <t xml:space="preserve"> Eur, prekės ir paslaugos- 11,5 tūkst. Eur.</t>
  </si>
  <si>
    <t>2022 m.pr. iš jų:</t>
  </si>
  <si>
    <t>2023  m. asignavimų projektas</t>
  </si>
  <si>
    <t>Programos  kodai</t>
  </si>
  <si>
    <t>2022 m. planas m. pradž.  Iš viso</t>
  </si>
  <si>
    <t xml:space="preserve"> 2022 m. planas m. pab. Iš viso</t>
  </si>
  <si>
    <t>VšĮ  veiklos pajamos 2021 m. pab.</t>
  </si>
  <si>
    <t>2023 m. išlaidų (8 stulpelis) detalizavimas, didėjimo (skirtumo) pagrindimas ir paskaičiavimai</t>
  </si>
  <si>
    <r>
      <t>Paaiškinti 18 st.:</t>
    </r>
    <r>
      <rPr>
        <u/>
        <sz val="12"/>
        <color indexed="8"/>
        <rFont val="Times New Roman"/>
        <family val="1"/>
        <charset val="186"/>
      </rPr>
      <t xml:space="preserve"> kodėl reikia</t>
    </r>
    <r>
      <rPr>
        <sz val="12"/>
        <color indexed="8"/>
        <rFont val="Times New Roman"/>
        <family val="1"/>
        <charset val="186"/>
      </rPr>
      <t xml:space="preserve"> atlikti ir</t>
    </r>
    <r>
      <rPr>
        <u/>
        <sz val="12"/>
        <color indexed="8"/>
        <rFont val="Times New Roman"/>
        <family val="1"/>
        <charset val="186"/>
      </rPr>
      <t xml:space="preserve"> kas</t>
    </r>
    <r>
      <rPr>
        <sz val="12"/>
        <color indexed="8"/>
        <rFont val="Times New Roman"/>
        <family val="1"/>
        <charset val="186"/>
      </rPr>
      <t xml:space="preserve"> bus </t>
    </r>
    <r>
      <rPr>
        <u/>
        <sz val="12"/>
        <color indexed="8"/>
        <rFont val="Times New Roman"/>
        <family val="1"/>
        <charset val="186"/>
      </rPr>
      <t>daroma , detalizuoti sumas</t>
    </r>
  </si>
  <si>
    <t xml:space="preserve">2023 m. projektas iš viso </t>
  </si>
  <si>
    <r>
      <t xml:space="preserve">Paaiškinti 21 st.: </t>
    </r>
    <r>
      <rPr>
        <u/>
        <sz val="12"/>
        <color indexed="8"/>
        <rFont val="Times New Roman"/>
        <family val="1"/>
        <charset val="186"/>
      </rPr>
      <t>kas</t>
    </r>
    <r>
      <rPr>
        <sz val="12"/>
        <color indexed="8"/>
        <rFont val="Times New Roman"/>
        <family val="1"/>
        <charset val="186"/>
      </rPr>
      <t xml:space="preserve"> būtų </t>
    </r>
    <r>
      <rPr>
        <u/>
        <sz val="12"/>
        <color indexed="8"/>
        <rFont val="Times New Roman"/>
        <family val="1"/>
        <charset val="186"/>
      </rPr>
      <t>atlikta, detalizuoti sumas</t>
    </r>
  </si>
  <si>
    <t>2023 m. poreikis,  iš viso</t>
  </si>
  <si>
    <t xml:space="preserve">       SB     (15101; 15104; 101505; 15106; 151071;151072) </t>
  </si>
  <si>
    <t>Spec: 31;32;33</t>
  </si>
  <si>
    <t>ML:141</t>
  </si>
  <si>
    <t>DF: 142</t>
  </si>
  <si>
    <t>KD: 14401; 14402; 14403; 147;149</t>
  </si>
  <si>
    <t>ES:1301;1302;14404</t>
  </si>
  <si>
    <t>AA:    151021;151022;15103</t>
  </si>
  <si>
    <t>Paskola: 155</t>
  </si>
  <si>
    <t>Iš viso</t>
  </si>
  <si>
    <t>t.b</t>
  </si>
  <si>
    <t>skirtumai nuo paj.</t>
  </si>
  <si>
    <t>poreikio trūkumas</t>
  </si>
  <si>
    <t>viršija</t>
  </si>
  <si>
    <t>skirtumas</t>
  </si>
  <si>
    <t>21. Švietimo programa</t>
  </si>
  <si>
    <t>22. Sveikatos apsaugos programa</t>
  </si>
  <si>
    <t>23. Socialinės apsaugos programa</t>
  </si>
  <si>
    <t>24. Kultūros programa</t>
  </si>
  <si>
    <t>25. Sporto programa</t>
  </si>
  <si>
    <t>26. Savivaldybės veiklos programa</t>
  </si>
  <si>
    <t>27. Ekonominės plėtros programa</t>
  </si>
  <si>
    <t>29. Turto valdymo ir plėtros programa</t>
  </si>
  <si>
    <t>30. Urbanistinio planavimo programa</t>
  </si>
  <si>
    <r>
      <t xml:space="preserve">savarankišųjų f-jų lėšų </t>
    </r>
    <r>
      <rPr>
        <b/>
        <i/>
        <sz val="12"/>
        <color indexed="18"/>
        <rFont val="Times New Roman"/>
        <family val="1"/>
        <charset val="186"/>
      </rPr>
      <t>maks.</t>
    </r>
    <r>
      <rPr>
        <b/>
        <i/>
        <sz val="12"/>
        <color indexed="8"/>
        <rFont val="Times New Roman"/>
        <family val="1"/>
        <charset val="186"/>
      </rPr>
      <t>augimas 2023 m.(%)</t>
    </r>
  </si>
  <si>
    <t>TA</t>
  </si>
  <si>
    <r>
      <t xml:space="preserve">PAJAMOS VISO </t>
    </r>
    <r>
      <rPr>
        <b/>
        <sz val="12"/>
        <color indexed="8"/>
        <rFont val="Times New Roman"/>
        <family val="1"/>
        <charset val="186"/>
      </rPr>
      <t>2023</t>
    </r>
  </si>
  <si>
    <t>2022 m</t>
  </si>
  <si>
    <r>
      <t>būtinųjų savarank. f-joms</t>
    </r>
    <r>
      <rPr>
        <sz val="12"/>
        <color indexed="10"/>
        <rFont val="Times New Roman"/>
        <family val="1"/>
        <charset val="186"/>
      </rPr>
      <t xml:space="preserve"> </t>
    </r>
  </si>
  <si>
    <t>2022 m. Pajamos, savarankiškoms f-joms vykdyti</t>
  </si>
  <si>
    <t>laisvi/trūksta</t>
  </si>
  <si>
    <t xml:space="preserve">                                                                          PATVIRTINTA</t>
  </si>
  <si>
    <t xml:space="preserve">Alytaus miesto savivaldybės tarybos  </t>
  </si>
  <si>
    <t xml:space="preserve">                                                                 2023 m. _______________ d. </t>
  </si>
  <si>
    <t xml:space="preserve">                                                              sprendimu Nr.  ___________</t>
  </si>
  <si>
    <t>tūkst. eurų</t>
  </si>
  <si>
    <t xml:space="preserve">Pajamų pavadinimas                                    </t>
  </si>
  <si>
    <t xml:space="preserve">2023 m. Fin. rodiklis.        </t>
  </si>
  <si>
    <t>II patiksl.  FR Istat. 2020 -12 -16</t>
  </si>
  <si>
    <t>Gyventojų pajamų mokesčio dalis, tenkanti savivaldybei %</t>
  </si>
  <si>
    <t xml:space="preserve">MOKESČIAI </t>
  </si>
  <si>
    <t xml:space="preserve">Pajamų ir pelno mokesčiai </t>
  </si>
  <si>
    <t xml:space="preserve">Gyventojų pajamų mokestis, iš viso </t>
  </si>
  <si>
    <t>Gyventojų pajamų mokestis (Pastovioji dalis, gauta iš VMI)</t>
  </si>
  <si>
    <t>Gyventojų pajamų mokestis savivaldybių išlaidų struktūros skirtumams išlyginti</t>
  </si>
  <si>
    <t>GPM išlyginti</t>
  </si>
  <si>
    <t>GPM kintama dalis.Finansiniams ištekliams papildyti-verslo liudijimai</t>
  </si>
  <si>
    <t>Fiksuoto dydžio GPM</t>
  </si>
  <si>
    <t>GPM kintama dalis.pagal TA perduotoms f-joms vykdyti</t>
  </si>
  <si>
    <t>didejimai TA</t>
  </si>
  <si>
    <t>GPM kintama dalis.Kultūros darbuotojams</t>
  </si>
  <si>
    <t>GPM savivaldybių prognozuojamų pajamų mažėjimui išlyginti</t>
  </si>
  <si>
    <t>GPM iš veiklos, kuria verčiamasi turint verslo liudijimą</t>
  </si>
  <si>
    <t xml:space="preserve">Turto mokesčiai </t>
  </si>
  <si>
    <t>Žemės mokestis</t>
  </si>
  <si>
    <t>Fizinių asmenų</t>
  </si>
  <si>
    <t>Juridinių asmenų</t>
  </si>
  <si>
    <t xml:space="preserve">Paveldimo ir dovanojamo turto mokestis </t>
  </si>
  <si>
    <t xml:space="preserve">Nekilnojamojo turto mokestis </t>
  </si>
  <si>
    <t xml:space="preserve">Prekių ir paslaugų mokesčiai </t>
  </si>
  <si>
    <t>Mokestis už aplinkos teršimą</t>
  </si>
  <si>
    <t xml:space="preserve">DOTACIJOS </t>
  </si>
  <si>
    <t>viso</t>
  </si>
  <si>
    <t>1302; 14404</t>
  </si>
  <si>
    <t>ES projektų lėšos</t>
  </si>
  <si>
    <t>ES finansinės paramos lėšos</t>
  </si>
  <si>
    <t>Mokymo lėšos</t>
  </si>
  <si>
    <t>Valstybinėms (perduotoms savivaldybėms) funkcijoms atlikti</t>
  </si>
  <si>
    <t xml:space="preserve">Plėtoti sveiką gyvenseną  bei stiprinti sveikos gyvensenos įgūdžius ugdymo įstaigose ir bendruomenėse, vykdyti visuomenės sveikatos stebėseną savivaldybėse </t>
  </si>
  <si>
    <t>Plėtoti visuomenės psichikos sveikatos paslaugų prieinamumą bei ankstyvojo savižudybių atpažinimo ir kompleksinės pagalbos teikimo sistemai</t>
  </si>
  <si>
    <t>Gyventojų  registrui tvarkyti ir duomenims valstybės registrams teikti</t>
  </si>
  <si>
    <t>Civilinės būklės aktams registruoti</t>
  </si>
  <si>
    <t>Vaiko teisių apsaugai</t>
  </si>
  <si>
    <t>Jaunimo teisių apsaugai</t>
  </si>
  <si>
    <t>Piliečių prašymams atkurti nuosavybės teises į išlikusį nek. turtą nagrinėti ir sprendimams priimti</t>
  </si>
  <si>
    <t>Dokumentų pilietybei suteikti rengimas</t>
  </si>
  <si>
    <t>Valstybinės kalbos vartojimo ir taisyklingumo kontrolei</t>
  </si>
  <si>
    <t>Savivaldybei priskirtiems archyviniams dokumentams  tvarkyti</t>
  </si>
  <si>
    <t>Būsto nuomos mokesčio daliai kompensuoti</t>
  </si>
  <si>
    <t>Mobilizacijai administruoti</t>
  </si>
  <si>
    <t>Civilinei saugai</t>
  </si>
  <si>
    <t>Socialinėms išmokoms ir kompensacijoms skaičiuoti ir mokėti</t>
  </si>
  <si>
    <t>Valstybės garantuojamai pirminei teisinei  pagalbai teikti</t>
  </si>
  <si>
    <r>
      <t>Teikti duomenis Suteiktos valstybės pagalbos ir nereikšmingos (</t>
    </r>
    <r>
      <rPr>
        <i/>
        <sz val="12"/>
        <rFont val="Times New Roman"/>
        <family val="1"/>
        <charset val="186"/>
      </rPr>
      <t>de minimis</t>
    </r>
    <r>
      <rPr>
        <sz val="12"/>
        <rFont val="Times New Roman"/>
        <family val="1"/>
        <charset val="186"/>
      </rPr>
      <t>) pagalbos registrui</t>
    </r>
  </si>
  <si>
    <t>Neveiksnių asmenų būklės peržiūrėjimui užtikrinti</t>
  </si>
  <si>
    <t>Tarpinstitucinio bendradarbiavimo koordinatoriaus pareigybei finansuoti</t>
  </si>
  <si>
    <t>Gyvenamosios vietos deklaravimo duomenų ir gyvenamosios vietos neturinčių asmenų apskaitos duomenims tvarkyti</t>
  </si>
  <si>
    <t>Savivaldybei priskirtai valstybinei žemei ir kitam valstybės turtui valdyti, naudoti ir disponuoti juo  patikėjimo teise</t>
  </si>
  <si>
    <t>Savivaldybių patvirtintoms užimtumo didinimo programoms įgyvendinti</t>
  </si>
  <si>
    <t>Socialinei paramai mokiniams</t>
  </si>
  <si>
    <t>Socialinėms paslaugoms</t>
  </si>
  <si>
    <t>Žemės ūkio funkcijoms atlikti</t>
  </si>
  <si>
    <t>Savivaldybės erdvinių duomenų rinkinio tvarkymo funkcijai atlikti</t>
  </si>
  <si>
    <t>Spec. dotacija spec. poreikių mokinių turinčioms įstaigoms išlaikyti</t>
  </si>
  <si>
    <t>Spec. dotacija perduotoms iš apskričių soc. įstaigoms išlaikyti</t>
  </si>
  <si>
    <t>Projektų VB dalis</t>
  </si>
  <si>
    <t>Mokymo lėšos skaitmeninio ugdymo plėtrai iš valstybės vardu pasiskolintų lėšų įgyvendinant Ateities ekonomikos DNR planą</t>
  </si>
  <si>
    <t>Savivaldybės viešajai bibliotekai dokumentams įsigyti</t>
  </si>
  <si>
    <t xml:space="preserve">Nuotekų tvarkymo būklės gerinimo Alytaus mieste privačių namų sektoriuje </t>
  </si>
  <si>
    <t>Mokytojų, dirbančių pagal neformaliojo vaikų švietimo programas, darbo apmokėjimui</t>
  </si>
  <si>
    <t>Asbesto turinčių gaminių atliekoms tvarkyti</t>
  </si>
  <si>
    <t xml:space="preserve">Sosnovskio barščio naikinimo projektui įgyvendinti </t>
  </si>
  <si>
    <t>Akredituotai vaikų dienos soc. priežiūrai organizuoti, teikti ir administruoti</t>
  </si>
  <si>
    <t>Neformaliajam vaikų švietimui finansuoti</t>
  </si>
  <si>
    <t>Kultūros darbuotojų darbo užmokesčiui padidinti</t>
  </si>
  <si>
    <t>Padangų atliekų transportavimui</t>
  </si>
  <si>
    <t>Stiprinti bendruomeninę veiklą savivaldybėse</t>
  </si>
  <si>
    <t>Padidėjusioms būsto šildymo išlaidoms kompensuoti</t>
  </si>
  <si>
    <t>Biudžetinių įstaigų vadovaujančių darbuotojų minimaliems pareiginės algos koef. padidinti, siekiant gerinti jų apmokėjimo sąlygas</t>
  </si>
  <si>
    <t>Pedagoginių darbuotojų, išlaikomų iš savivaldybės biudžeto lėšų, darbo užmokesčiui didinti</t>
  </si>
  <si>
    <t>Asmeninei pagalbai teikti ir administruoti</t>
  </si>
  <si>
    <t>Organizuoti socialinės reabilitacijos paslaugų neįgaliesiems bendruomenėje teikimą</t>
  </si>
  <si>
    <t>Karjeros konsultantų tinklo vystymo projekto lėšos</t>
  </si>
  <si>
    <t>Speciali tikslinė dotacija, iš jų:</t>
  </si>
  <si>
    <t>Kelių priežiūros ir plėtros programos lėšos</t>
  </si>
  <si>
    <t>Valstybės investiciniams projektams (Alytaus miesto stadiono, Birutės g. 5 rekonstravimo III etapas)</t>
  </si>
  <si>
    <t>VšĮ Alytaus apskrities S. Kudirkos ligoninės pastatų Alytuje, Ligoninės g. 12, rekonstravimui</t>
  </si>
  <si>
    <t>Daugiafunkcio sporto aikštyno Tvirtovės g. 7 statyba</t>
  </si>
  <si>
    <t xml:space="preserve">VIP. VšĮ Alytaus kultūros ir komunikacijos centro pastato Alytuje, Pramonės g. 1b, pastato stogui ir patalpoms  rekonstruoti </t>
  </si>
  <si>
    <t>Dainavos progimnazijos sporto aikštynui atnaujinti</t>
  </si>
  <si>
    <t>Valstybės investiciniams projektams (VšĮ Alytaus apskrities S. Kudirkos ligoninės  pastatams rekonstruoti)</t>
  </si>
  <si>
    <t xml:space="preserve">KITOS PAJAMOS </t>
  </si>
  <si>
    <t>Palūkanos už indėlius, depozitus ir sąskaitų likučius</t>
  </si>
  <si>
    <t>Dividendai ir kitos pelno įmokos</t>
  </si>
  <si>
    <t xml:space="preserve">Turto pajamos </t>
  </si>
  <si>
    <t>`</t>
  </si>
  <si>
    <t>Nuomos mokestis už valstybinę žemę ir valstybinio vidaus vandenų fondo vandens telkinius</t>
  </si>
  <si>
    <t>Mokesčiai už valstybinius gamtos išteklius</t>
  </si>
  <si>
    <t>Pajamos už teikiamas paslaugas, iš viso</t>
  </si>
  <si>
    <t xml:space="preserve">BĮ pajamos už teikiamas paslaugas </t>
  </si>
  <si>
    <t>Pajamos už ilgalaikio ir trumpalaikio turto nuomą</t>
  </si>
  <si>
    <t xml:space="preserve">Pajamos už prekes ir paslaugas </t>
  </si>
  <si>
    <t>Įmokos už išlaikymą švietimo, socialinės apsaugos ir kitose įstaigose</t>
  </si>
  <si>
    <t>Rinkliavos</t>
  </si>
  <si>
    <t>Valstybės rinkliavos</t>
  </si>
  <si>
    <t>Vietinės rinkliavos</t>
  </si>
  <si>
    <t>Atliekų tvarkymo rinkliava</t>
  </si>
  <si>
    <t>Pajamos iš baudų, konfiskuoto turto ir kitų netesybų</t>
  </si>
  <si>
    <t>Kitos neišvardytos pajamos</t>
  </si>
  <si>
    <t>15104; 15106</t>
  </si>
  <si>
    <t>Materialiojo ir nematerialiojo turto pajamos</t>
  </si>
  <si>
    <t>VISOS PAJAMOS</t>
  </si>
  <si>
    <t>iš jų savarankiškoms f-joms vykdyti</t>
  </si>
  <si>
    <t>KITI FINANSAVIMO ŠALTINIAI (Iš likučių)</t>
  </si>
  <si>
    <t>Skolintos lėšos</t>
  </si>
  <si>
    <t>148;13091;15921;15922;15931;15932;15933;15934</t>
  </si>
  <si>
    <t>Tikslinę paskirtį turinčių lėšų likutis m. pradžioje</t>
  </si>
  <si>
    <t>361; 362; 363</t>
  </si>
  <si>
    <t>Pajamų iš veiklos (spec. lėšos) likutis m. pradžioje</t>
  </si>
  <si>
    <t>Kitas lėšų likutis m. pradžioje, nukreiptas išlaidoms</t>
  </si>
  <si>
    <t>Kitas lėšų likutis m. pradžioje, nukreiptas paskoloms grąžinti</t>
  </si>
  <si>
    <t>Metų pradžios lėšų likutis</t>
  </si>
  <si>
    <t>IŠ VISO</t>
  </si>
  <si>
    <t xml:space="preserve">IŠ JŲ: Savarankiškosioms f-joms vykdyti </t>
  </si>
  <si>
    <t>2024 m. asignavimai programoms  vykdyti</t>
  </si>
  <si>
    <t>ALYTAUS MIESTO SAVIVALDYBĖS 2024 METŲ BIUDŽETO PAJAMOS</t>
  </si>
  <si>
    <t>GPM kintama dalis 2018-2023 m.</t>
  </si>
  <si>
    <t>GPM kintama dalis. Išlaidų pokyčiams 2024 m.</t>
  </si>
  <si>
    <t>Infrastruktūros plėtros įmokos</t>
  </si>
  <si>
    <t>2024 m.</t>
  </si>
  <si>
    <t>Kompleksinėms paslaugoms šeimai organizuoti</t>
  </si>
  <si>
    <r>
      <t>Paaiškinti 18 str.:</t>
    </r>
    <r>
      <rPr>
        <u/>
        <sz val="12"/>
        <color indexed="8"/>
        <rFont val="Times New Roman"/>
        <family val="1"/>
        <charset val="186"/>
      </rPr>
      <t xml:space="preserve"> kodėl reikia</t>
    </r>
    <r>
      <rPr>
        <sz val="12"/>
        <color indexed="8"/>
        <rFont val="Times New Roman"/>
        <family val="1"/>
        <charset val="186"/>
      </rPr>
      <t xml:space="preserve"> atlikti ir</t>
    </r>
    <r>
      <rPr>
        <u/>
        <sz val="12"/>
        <color indexed="8"/>
        <rFont val="Times New Roman"/>
        <family val="1"/>
        <charset val="186"/>
      </rPr>
      <t xml:space="preserve"> kas</t>
    </r>
    <r>
      <rPr>
        <sz val="12"/>
        <color indexed="8"/>
        <rFont val="Times New Roman"/>
        <family val="1"/>
        <charset val="186"/>
      </rPr>
      <t xml:space="preserve"> bus </t>
    </r>
    <r>
      <rPr>
        <u/>
        <sz val="12"/>
        <color indexed="8"/>
        <rFont val="Times New Roman"/>
        <family val="1"/>
        <charset val="186"/>
      </rPr>
      <t>daroma , detalizuoti sumas</t>
    </r>
  </si>
  <si>
    <r>
      <t xml:space="preserve">Paaiškinti 21 str.: </t>
    </r>
    <r>
      <rPr>
        <u/>
        <sz val="12"/>
        <color indexed="8"/>
        <rFont val="Times New Roman"/>
        <family val="1"/>
        <charset val="186"/>
      </rPr>
      <t>kas</t>
    </r>
    <r>
      <rPr>
        <sz val="12"/>
        <color indexed="8"/>
        <rFont val="Times New Roman"/>
        <family val="1"/>
        <charset val="186"/>
      </rPr>
      <t xml:space="preserve"> būtų </t>
    </r>
    <r>
      <rPr>
        <u/>
        <sz val="12"/>
        <color indexed="8"/>
        <rFont val="Times New Roman"/>
        <family val="1"/>
        <charset val="186"/>
      </rPr>
      <t>atlikta, detalizuoti sumas</t>
    </r>
  </si>
  <si>
    <r>
      <t xml:space="preserve">       SB    </t>
    </r>
    <r>
      <rPr>
        <sz val="12"/>
        <color indexed="8"/>
        <rFont val="Times New Roman"/>
        <family val="1"/>
        <charset val="186"/>
      </rPr>
      <t xml:space="preserve"> (15101; 15104; 15105; 15106; 151071;151072) </t>
    </r>
  </si>
  <si>
    <r>
      <t>Spec:</t>
    </r>
    <r>
      <rPr>
        <sz val="12"/>
        <rFont val="Times New Roman"/>
        <family val="1"/>
        <charset val="186"/>
      </rPr>
      <t xml:space="preserve"> 31;32;33</t>
    </r>
  </si>
  <si>
    <r>
      <t>ML:</t>
    </r>
    <r>
      <rPr>
        <sz val="12"/>
        <rFont val="Times New Roman"/>
        <family val="1"/>
        <charset val="186"/>
      </rPr>
      <t>141</t>
    </r>
  </si>
  <si>
    <r>
      <t xml:space="preserve">DF: </t>
    </r>
    <r>
      <rPr>
        <sz val="12"/>
        <rFont val="Times New Roman"/>
        <family val="1"/>
        <charset val="186"/>
      </rPr>
      <t>142</t>
    </r>
  </si>
  <si>
    <r>
      <t>KD:</t>
    </r>
    <r>
      <rPr>
        <sz val="12"/>
        <rFont val="Times New Roman"/>
        <family val="1"/>
        <charset val="186"/>
      </rPr>
      <t xml:space="preserve"> 14401; 14402; 14403</t>
    </r>
    <r>
      <rPr>
        <b/>
        <sz val="12"/>
        <rFont val="Times New Roman"/>
        <family val="1"/>
        <charset val="186"/>
      </rPr>
      <t>; 147;149</t>
    </r>
  </si>
  <si>
    <r>
      <t>ES:</t>
    </r>
    <r>
      <rPr>
        <sz val="12"/>
        <rFont val="Times New Roman"/>
        <family val="1"/>
        <charset val="186"/>
      </rPr>
      <t>1301;1302;14404</t>
    </r>
  </si>
  <si>
    <r>
      <t xml:space="preserve">AA:    </t>
    </r>
    <r>
      <rPr>
        <sz val="12"/>
        <rFont val="Times New Roman"/>
        <family val="1"/>
        <charset val="186"/>
      </rPr>
      <t>151021;151022;15103</t>
    </r>
  </si>
  <si>
    <r>
      <t xml:space="preserve">L: </t>
    </r>
    <r>
      <rPr>
        <sz val="12"/>
        <rFont val="Times New Roman"/>
        <family val="1"/>
        <charset val="186"/>
      </rPr>
      <t>159..;3..;148..;</t>
    </r>
  </si>
  <si>
    <r>
      <t xml:space="preserve">Paskola: </t>
    </r>
    <r>
      <rPr>
        <sz val="12"/>
        <rFont val="Times New Roman"/>
        <family val="1"/>
        <charset val="186"/>
      </rPr>
      <t>155</t>
    </r>
  </si>
  <si>
    <r>
      <rPr>
        <b/>
        <sz val="12"/>
        <color rgb="FF000000"/>
        <rFont val="Times New Roman"/>
        <family val="1"/>
        <charset val="186"/>
      </rPr>
      <t xml:space="preserve">1653,7 - </t>
    </r>
    <r>
      <rPr>
        <sz val="12"/>
        <color rgb="FF000000"/>
        <rFont val="Times New Roman"/>
        <family val="1"/>
        <charset val="186"/>
      </rPr>
      <t>Gatvių apšvietimo modernizavimas III etapas</t>
    </r>
  </si>
  <si>
    <r>
      <rPr>
        <b/>
        <sz val="12"/>
        <color rgb="FF000000"/>
        <rFont val="Times New Roman"/>
        <family val="1"/>
        <charset val="186"/>
      </rPr>
      <t xml:space="preserve">955,7 - </t>
    </r>
    <r>
      <rPr>
        <sz val="12"/>
        <color rgb="FF000000"/>
        <rFont val="Times New Roman"/>
        <family val="1"/>
        <charset val="186"/>
      </rPr>
      <t xml:space="preserve">Gatvių apšvietimo modernizavimas II etapas </t>
    </r>
  </si>
  <si>
    <r>
      <rPr>
        <b/>
        <sz val="12"/>
        <color rgb="FF000000"/>
        <rFont val="Times New Roman"/>
        <family val="1"/>
        <charset val="186"/>
      </rPr>
      <t>200</t>
    </r>
    <r>
      <rPr>
        <sz val="12"/>
        <color rgb="FF000000"/>
        <rFont val="Times New Roman"/>
        <family val="1"/>
        <charset val="186"/>
      </rPr>
      <t xml:space="preserve"> - Aiškštelės, įvažiavimai, šaligatviai ir kt.
</t>
    </r>
    <r>
      <rPr>
        <b/>
        <sz val="12"/>
        <color rgb="FF000000"/>
        <rFont val="Times New Roman"/>
        <family val="1"/>
        <charset val="186"/>
      </rPr>
      <t>675,6</t>
    </r>
    <r>
      <rPr>
        <sz val="12"/>
        <color rgb="FF000000"/>
        <rFont val="Times New Roman"/>
        <family val="1"/>
        <charset val="186"/>
      </rPr>
      <t xml:space="preserve"> - Žirgų ir Voveraičių g.</t>
    </r>
  </si>
  <si>
    <r>
      <rPr>
        <b/>
        <sz val="12"/>
        <color rgb="FF000000"/>
        <rFont val="Times New Roman"/>
        <family val="1"/>
        <charset val="186"/>
      </rPr>
      <t>328,3</t>
    </r>
    <r>
      <rPr>
        <sz val="12"/>
        <color rgb="FF000000"/>
        <rFont val="Times New Roman"/>
        <family val="1"/>
        <charset val="186"/>
      </rPr>
      <t xml:space="preserve"> - A. Sakalausko g. </t>
    </r>
  </si>
  <si>
    <r>
      <rPr>
        <b/>
        <sz val="12"/>
        <color rgb="FF000000"/>
        <rFont val="Times New Roman"/>
        <family val="1"/>
        <charset val="186"/>
      </rPr>
      <t>50</t>
    </r>
    <r>
      <rPr>
        <sz val="12"/>
        <color rgb="FF000000"/>
        <rFont val="Times New Roman"/>
        <family val="1"/>
        <charset val="186"/>
      </rPr>
      <t xml:space="preserve"> - Avariniai gedimai ir smulkūs remontai
</t>
    </r>
    <r>
      <rPr>
        <b/>
        <sz val="12"/>
        <color rgb="FF000000"/>
        <rFont val="Times New Roman"/>
        <family val="1"/>
        <charset val="186"/>
      </rPr>
      <t>50</t>
    </r>
    <r>
      <rPr>
        <sz val="12"/>
        <color rgb="FF000000"/>
        <rFont val="Times New Roman"/>
        <family val="1"/>
        <charset val="186"/>
      </rPr>
      <t xml:space="preserve"> - ES projektų papildomi darbai</t>
    </r>
  </si>
  <si>
    <r>
      <rPr>
        <b/>
        <sz val="12"/>
        <color rgb="FF000000"/>
        <rFont val="Times New Roman"/>
        <family val="1"/>
        <charset val="186"/>
      </rPr>
      <t xml:space="preserve">50 </t>
    </r>
    <r>
      <rPr>
        <sz val="12"/>
        <color rgb="FF000000"/>
        <rFont val="Times New Roman"/>
        <family val="1"/>
        <charset val="186"/>
      </rPr>
      <t xml:space="preserve">- ES projektų papildomi darbai </t>
    </r>
  </si>
  <si>
    <r>
      <rPr>
        <b/>
        <sz val="12"/>
        <color rgb="FF000000"/>
        <rFont val="Times New Roman"/>
        <family val="1"/>
        <charset val="186"/>
      </rPr>
      <t>531,9</t>
    </r>
    <r>
      <rPr>
        <sz val="12"/>
        <color rgb="FF000000"/>
        <rFont val="Times New Roman"/>
        <family val="1"/>
        <charset val="186"/>
      </rPr>
      <t xml:space="preserve"> - AKC scenos įrenginių atnaujinimas </t>
    </r>
  </si>
  <si>
    <t>2024m. projektas</t>
  </si>
  <si>
    <t>2024 m. projektas</t>
  </si>
  <si>
    <r>
      <t>Paaiškinti 18 st.:</t>
    </r>
    <r>
      <rPr>
        <u/>
        <sz val="12"/>
        <color theme="1" tint="4.9989318521683403E-2"/>
        <rFont val="Times New Roman"/>
        <family val="1"/>
        <charset val="186"/>
      </rPr>
      <t xml:space="preserve"> kodėl reikia</t>
    </r>
    <r>
      <rPr>
        <sz val="12"/>
        <color theme="1" tint="4.9989318521683403E-2"/>
        <rFont val="Times New Roman"/>
        <family val="1"/>
        <charset val="186"/>
      </rPr>
      <t xml:space="preserve"> atlikti ir</t>
    </r>
    <r>
      <rPr>
        <u/>
        <sz val="12"/>
        <color theme="1" tint="4.9989318521683403E-2"/>
        <rFont val="Times New Roman"/>
        <family val="1"/>
        <charset val="186"/>
      </rPr>
      <t xml:space="preserve"> kas</t>
    </r>
    <r>
      <rPr>
        <sz val="12"/>
        <color theme="1" tint="4.9989318521683403E-2"/>
        <rFont val="Times New Roman"/>
        <family val="1"/>
        <charset val="186"/>
      </rPr>
      <t xml:space="preserve"> bus </t>
    </r>
    <r>
      <rPr>
        <u/>
        <sz val="12"/>
        <color theme="1" tint="4.9989318521683403E-2"/>
        <rFont val="Times New Roman"/>
        <family val="1"/>
        <charset val="186"/>
      </rPr>
      <t>daroma , detalizuoti sumas</t>
    </r>
  </si>
  <si>
    <r>
      <t xml:space="preserve">DF: </t>
    </r>
    <r>
      <rPr>
        <sz val="12"/>
        <rFont val="Times New Roman"/>
        <family val="1"/>
        <charset val="186"/>
      </rPr>
      <t>142</t>
    </r>
    <r>
      <rPr>
        <b/>
        <sz val="12"/>
        <rFont val="Times New Roman"/>
        <family val="1"/>
        <charset val="186"/>
      </rPr>
      <t>..</t>
    </r>
  </si>
  <si>
    <r>
      <t xml:space="preserve">L: </t>
    </r>
    <r>
      <rPr>
        <sz val="12"/>
        <rFont val="Times New Roman"/>
        <family val="1"/>
        <charset val="186"/>
      </rPr>
      <t>159..;36..;148..;</t>
    </r>
  </si>
  <si>
    <r>
      <t>Planas 12 mėn. *7,0 tūkst. Eur</t>
    </r>
    <r>
      <rPr>
        <sz val="12"/>
        <color theme="1" tint="4.9989318521683403E-2"/>
        <rFont val="Times New Roman"/>
        <family val="1"/>
        <charset val="186"/>
      </rPr>
      <t xml:space="preserve">=84,0 tūkst. Eur +12 proc. dėl VRP didėjimo, viso 94,0 tūks. Eur, todėl 14,0 tūkst. truks. </t>
    </r>
  </si>
  <si>
    <r>
      <t>Paaiškinti 18 st.:</t>
    </r>
    <r>
      <rPr>
        <u/>
        <sz val="12"/>
        <color theme="1" tint="4.9989318521683403E-2"/>
        <rFont val="Times New Roman"/>
        <family val="1"/>
        <charset val="186"/>
      </rPr>
      <t xml:space="preserve"> kodėl reikia</t>
    </r>
    <r>
      <rPr>
        <sz val="12"/>
        <color theme="1" tint="4.9989318521683403E-2"/>
        <rFont val="Times New Roman"/>
        <family val="1"/>
        <charset val="186"/>
      </rPr>
      <t xml:space="preserve"> atlikti ir</t>
    </r>
    <r>
      <rPr>
        <u/>
        <sz val="12"/>
        <color theme="1" tint="4.9989318521683403E-2"/>
        <rFont val="Times New Roman"/>
        <family val="1"/>
        <charset val="186"/>
      </rPr>
      <t xml:space="preserve"> kas</t>
    </r>
    <r>
      <rPr>
        <sz val="12"/>
        <color theme="1" tint="4.9989318521683403E-2"/>
        <rFont val="Times New Roman"/>
        <family val="1"/>
        <charset val="186"/>
      </rPr>
      <t xml:space="preserve"> bus </t>
    </r>
    <r>
      <rPr>
        <u/>
        <sz val="12"/>
        <color theme="1" tint="4.9989318521683403E-2"/>
        <rFont val="Times New Roman"/>
        <family val="1"/>
        <charset val="186"/>
      </rPr>
      <t>daroma, detalizuoti sumas</t>
    </r>
  </si>
  <si>
    <t xml:space="preserve">2024 m. asignavimų poreikis programoms  vykdyti                    </t>
  </si>
  <si>
    <r>
      <t xml:space="preserve">       SB    </t>
    </r>
    <r>
      <rPr>
        <b/>
        <sz val="12"/>
        <color indexed="8"/>
        <rFont val="Times New Roman"/>
        <family val="1"/>
        <charset val="186"/>
      </rPr>
      <t xml:space="preserve"> (15101; 15104; 15105; 15106; 151071;151072)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</si>
</sst>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10427]#,##0.0;\-#,##0.0;&quot;&quot;"/>
    <numFmt numFmtId="166" formatCode="#,##0.0"/>
  </numFmts>
  <fonts count="50" x14ac:knownFonts="1">
    <font>
      <sz val="11"/>
      <color theme="1"/>
      <name val="Calibri"/>
      <family val="2"/>
      <scheme val="minor"/>
    </font>
    <font>
      <sz val="11"/>
      <color theme="1"/>
      <name val="Calibri"/>
      <family val="2"/>
      <charset val="186"/>
      <scheme val="minor"/>
    </font>
    <font>
      <sz val="9"/>
      <name val="Times New Roman"/>
      <family val="1"/>
      <charset val="186"/>
    </font>
    <font>
      <sz val="11"/>
      <color rgb="FF000000"/>
      <name val="Calibri"/>
      <family val="2"/>
      <scheme val="minor"/>
    </font>
    <font>
      <sz val="10"/>
      <name val="Arial"/>
      <family val="2"/>
      <charset val="186"/>
    </font>
    <font>
      <b/>
      <sz val="9"/>
      <color indexed="81"/>
      <name val="Tahoma"/>
      <family val="2"/>
      <charset val="186"/>
    </font>
    <font>
      <sz val="9"/>
      <color indexed="81"/>
      <name val="Tahoma"/>
      <family val="2"/>
      <charset val="186"/>
    </font>
    <font>
      <b/>
      <sz val="20"/>
      <color theme="1"/>
      <name val="Times New Roman"/>
      <family val="1"/>
      <charset val="186"/>
    </font>
    <font>
      <sz val="20"/>
      <color theme="1"/>
      <name val="Times New Roman"/>
      <family val="1"/>
      <charset val="186"/>
    </font>
    <font>
      <b/>
      <sz val="12"/>
      <color theme="1"/>
      <name val="Times New Roman"/>
      <family val="1"/>
      <charset val="186"/>
    </font>
    <font>
      <sz val="12"/>
      <color theme="1"/>
      <name val="Times New Roman"/>
      <family val="1"/>
      <charset val="186"/>
    </font>
    <font>
      <i/>
      <sz val="12"/>
      <color rgb="FFFF0000"/>
      <name val="Times New Roman"/>
      <family val="1"/>
      <charset val="186"/>
    </font>
    <font>
      <sz val="12"/>
      <name val="Times New Roman"/>
      <family val="1"/>
      <charset val="186"/>
    </font>
    <font>
      <sz val="12"/>
      <color rgb="FF000000"/>
      <name val="Times New Roman"/>
      <family val="1"/>
      <charset val="186"/>
    </font>
    <font>
      <b/>
      <sz val="12"/>
      <name val="Times New Roman"/>
      <family val="1"/>
      <charset val="186"/>
    </font>
    <font>
      <b/>
      <sz val="14"/>
      <name val="Times New Roman"/>
      <family val="1"/>
      <charset val="186"/>
    </font>
    <font>
      <b/>
      <i/>
      <sz val="14"/>
      <name val="Times New Roman"/>
      <family val="1"/>
      <charset val="186"/>
    </font>
    <font>
      <u/>
      <sz val="12"/>
      <color indexed="8"/>
      <name val="Times New Roman"/>
      <family val="1"/>
      <charset val="186"/>
    </font>
    <font>
      <sz val="12"/>
      <color indexed="8"/>
      <name val="Times New Roman"/>
      <family val="1"/>
      <charset val="186"/>
    </font>
    <font>
      <i/>
      <sz val="12"/>
      <name val="Times New Roman"/>
      <family val="1"/>
      <charset val="186"/>
    </font>
    <font>
      <b/>
      <sz val="14"/>
      <color rgb="FFC00000"/>
      <name val="Times New Roman"/>
      <family val="1"/>
      <charset val="186"/>
    </font>
    <font>
      <b/>
      <sz val="14"/>
      <color theme="1"/>
      <name val="Times New Roman"/>
      <family val="1"/>
      <charset val="186"/>
    </font>
    <font>
      <b/>
      <sz val="12"/>
      <color rgb="FF000000"/>
      <name val="Times New Roman"/>
      <family val="1"/>
      <charset val="186"/>
    </font>
    <font>
      <b/>
      <sz val="12"/>
      <color theme="3" tint="-0.249977111117893"/>
      <name val="Times New Roman"/>
      <family val="1"/>
      <charset val="186"/>
    </font>
    <font>
      <sz val="12"/>
      <color rgb="FFFF0000"/>
      <name val="Times New Roman"/>
      <family val="1"/>
      <charset val="186"/>
    </font>
    <font>
      <sz val="12"/>
      <color rgb="FFC00000"/>
      <name val="Times New Roman"/>
      <family val="1"/>
      <charset val="186"/>
    </font>
    <font>
      <b/>
      <sz val="12"/>
      <color rgb="FFC00000"/>
      <name val="Times New Roman"/>
      <family val="1"/>
      <charset val="186"/>
    </font>
    <font>
      <b/>
      <sz val="12"/>
      <color theme="6" tint="-0.499984740745262"/>
      <name val="Times New Roman"/>
      <family val="1"/>
      <charset val="186"/>
    </font>
    <font>
      <b/>
      <sz val="12"/>
      <color rgb="FFFF0000"/>
      <name val="Times New Roman"/>
      <family val="1"/>
      <charset val="186"/>
    </font>
    <font>
      <b/>
      <i/>
      <sz val="12"/>
      <name val="Times New Roman"/>
      <family val="1"/>
      <charset val="186"/>
    </font>
    <font>
      <b/>
      <i/>
      <sz val="12"/>
      <color rgb="FF000000"/>
      <name val="Times New Roman"/>
      <family val="1"/>
      <charset val="186"/>
    </font>
    <font>
      <b/>
      <i/>
      <sz val="12"/>
      <color indexed="18"/>
      <name val="Times New Roman"/>
      <family val="1"/>
      <charset val="186"/>
    </font>
    <font>
      <b/>
      <i/>
      <sz val="12"/>
      <color indexed="8"/>
      <name val="Times New Roman"/>
      <family val="1"/>
      <charset val="186"/>
    </font>
    <font>
      <b/>
      <i/>
      <sz val="12"/>
      <color rgb="FFFF0000"/>
      <name val="Times New Roman"/>
      <family val="1"/>
      <charset val="186"/>
    </font>
    <font>
      <b/>
      <sz val="12"/>
      <color indexed="8"/>
      <name val="Times New Roman"/>
      <family val="1"/>
      <charset val="186"/>
    </font>
    <font>
      <b/>
      <sz val="12"/>
      <color theme="8" tint="-0.249977111117893"/>
      <name val="Times New Roman"/>
      <family val="1"/>
      <charset val="186"/>
    </font>
    <font>
      <sz val="12"/>
      <color indexed="10"/>
      <name val="Times New Roman"/>
      <family val="1"/>
      <charset val="186"/>
    </font>
    <font>
      <sz val="12"/>
      <color rgb="FFFFFF00"/>
      <name val="Times New Roman"/>
      <family val="1"/>
      <charset val="186"/>
    </font>
    <font>
      <sz val="14"/>
      <name val="Times New Roman"/>
      <family val="1"/>
      <charset val="186"/>
    </font>
    <font>
      <b/>
      <sz val="12"/>
      <color rgb="FF7030A0"/>
      <name val="Times New Roman"/>
      <family val="1"/>
      <charset val="186"/>
    </font>
    <font>
      <sz val="12"/>
      <color theme="1" tint="4.9989318521683403E-2"/>
      <name val="Times New Roman"/>
      <family val="1"/>
      <charset val="186"/>
    </font>
    <font>
      <b/>
      <sz val="12"/>
      <color theme="1" tint="4.9989318521683403E-2"/>
      <name val="Times New Roman"/>
      <family val="1"/>
      <charset val="186"/>
    </font>
    <font>
      <i/>
      <sz val="12"/>
      <color theme="1" tint="4.9989318521683403E-2"/>
      <name val="Times New Roman"/>
      <family val="1"/>
      <charset val="186"/>
    </font>
    <font>
      <sz val="14"/>
      <color theme="1"/>
      <name val="Times New Roman"/>
      <family val="1"/>
      <charset val="186"/>
    </font>
    <font>
      <u/>
      <sz val="12"/>
      <color theme="1" tint="4.9989318521683403E-2"/>
      <name val="Times New Roman"/>
      <family val="1"/>
      <charset val="186"/>
    </font>
    <font>
      <b/>
      <i/>
      <sz val="12"/>
      <color theme="1"/>
      <name val="Times New Roman"/>
      <family val="1"/>
      <charset val="186"/>
    </font>
    <font>
      <b/>
      <i/>
      <sz val="12"/>
      <color rgb="FFC00000"/>
      <name val="Times New Roman"/>
      <family val="1"/>
      <charset val="186"/>
    </font>
    <font>
      <i/>
      <sz val="12"/>
      <color theme="1"/>
      <name val="Times New Roman"/>
      <family val="1"/>
      <charset val="186"/>
    </font>
    <font>
      <sz val="12"/>
      <color theme="3" tint="-0.249977111117893"/>
      <name val="Times New Roman"/>
      <family val="1"/>
      <charset val="186"/>
    </font>
    <font>
      <i/>
      <sz val="12"/>
      <color rgb="FFC00000"/>
      <name val="Times New Roman"/>
      <family val="1"/>
      <charset val="186"/>
    </font>
  </fonts>
  <fills count="46">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rgb="FFFFFF99"/>
        <bgColor indexed="64"/>
      </patternFill>
    </fill>
    <fill>
      <patternFill patternType="solid">
        <fgColor rgb="FFDEA30E"/>
        <bgColor rgb="FFF7F97A"/>
      </patternFill>
    </fill>
    <fill>
      <patternFill patternType="solid">
        <fgColor rgb="FFDEA30E"/>
        <bgColor indexed="64"/>
      </patternFill>
    </fill>
    <fill>
      <patternFill patternType="solid">
        <fgColor theme="9" tint="0.39997558519241921"/>
        <bgColor rgb="FFCFC7F5"/>
      </patternFill>
    </fill>
    <fill>
      <patternFill patternType="solid">
        <fgColor theme="9" tint="0.39997558519241921"/>
        <bgColor indexed="64"/>
      </patternFill>
    </fill>
    <fill>
      <patternFill patternType="solid">
        <fgColor theme="9" tint="0.79998168889431442"/>
        <bgColor rgb="FFCEF7DB"/>
      </patternFill>
    </fill>
    <fill>
      <patternFill patternType="solid">
        <fgColor rgb="FFFFFFCC"/>
        <bgColor indexed="64"/>
      </patternFill>
    </fill>
    <fill>
      <patternFill patternType="solid">
        <fgColor rgb="FFFFFF66"/>
        <bgColor indexed="64"/>
      </patternFill>
    </fill>
    <fill>
      <patternFill patternType="solid">
        <fgColor rgb="FFCCFFCC"/>
        <bgColor indexed="64"/>
      </patternFill>
    </fill>
    <fill>
      <patternFill patternType="solid">
        <fgColor theme="5" tint="0.59999389629810485"/>
        <bgColor indexed="64"/>
      </patternFill>
    </fill>
    <fill>
      <patternFill patternType="solid">
        <fgColor rgb="FFCCCCFF"/>
        <bgColor indexed="64"/>
      </patternFill>
    </fill>
    <fill>
      <patternFill patternType="solid">
        <fgColor theme="5" tint="0.79998168889431442"/>
        <bgColor indexed="64"/>
      </patternFill>
    </fill>
    <fill>
      <patternFill patternType="solid">
        <fgColor rgb="FFFF9900"/>
        <bgColor indexed="64"/>
      </patternFill>
    </fill>
    <fill>
      <patternFill patternType="solid">
        <fgColor rgb="FFFFCC00"/>
        <bgColor rgb="FFCFC7F5"/>
      </patternFill>
    </fill>
    <fill>
      <patternFill patternType="solid">
        <fgColor rgb="FFFFCC00"/>
        <bgColor indexed="64"/>
      </patternFill>
    </fill>
    <fill>
      <patternFill patternType="solid">
        <fgColor rgb="FFFFFF99"/>
        <bgColor rgb="FFCEF7DB"/>
      </patternFill>
    </fill>
    <fill>
      <patternFill patternType="solid">
        <fgColor theme="0"/>
        <bgColor rgb="FFF8EC44"/>
      </patternFill>
    </fill>
    <fill>
      <patternFill patternType="solid">
        <fgColor theme="0"/>
        <bgColor rgb="FFCFC7F5"/>
      </patternFill>
    </fill>
    <fill>
      <patternFill patternType="solid">
        <fgColor rgb="FFFF8C71"/>
        <bgColor indexed="64"/>
      </patternFill>
    </fill>
    <fill>
      <patternFill patternType="solid">
        <fgColor rgb="FFFFC000"/>
        <bgColor indexed="64"/>
      </patternFill>
    </fill>
    <fill>
      <patternFill patternType="solid">
        <fgColor theme="0"/>
        <bgColor rgb="FFF7F97A"/>
      </patternFill>
    </fill>
    <fill>
      <patternFill patternType="solid">
        <fgColor theme="0" tint="-0.249977111117893"/>
        <bgColor indexed="64"/>
      </patternFill>
    </fill>
    <fill>
      <patternFill patternType="solid">
        <fgColor rgb="FFFF99CC"/>
        <bgColor indexed="64"/>
      </patternFill>
    </fill>
    <fill>
      <patternFill patternType="solid">
        <fgColor rgb="FF66FF66"/>
        <bgColor indexed="64"/>
      </patternFill>
    </fill>
    <fill>
      <patternFill patternType="solid">
        <fgColor rgb="FF008000"/>
        <bgColor indexed="64"/>
      </patternFill>
    </fill>
    <fill>
      <patternFill patternType="solid">
        <fgColor rgb="FFCC6600"/>
        <bgColor indexed="64"/>
      </patternFill>
    </fill>
    <fill>
      <patternFill patternType="solid">
        <fgColor rgb="FFFF6699"/>
        <bgColor indexed="64"/>
      </patternFill>
    </fill>
    <fill>
      <patternFill patternType="solid">
        <fgColor theme="7" tint="-0.249977111117893"/>
        <bgColor indexed="64"/>
      </patternFill>
    </fill>
    <fill>
      <patternFill patternType="solid">
        <fgColor rgb="FF00B0F0"/>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9933"/>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s>
  <cellStyleXfs count="6">
    <xf numFmtId="0" fontId="0" fillId="0" borderId="0"/>
    <xf numFmtId="0" fontId="1" fillId="0" borderId="0"/>
    <xf numFmtId="0" fontId="3" fillId="0" borderId="0"/>
    <xf numFmtId="0" fontId="4" fillId="0" borderId="0"/>
    <xf numFmtId="0" fontId="4" fillId="0" borderId="0"/>
    <xf numFmtId="9" fontId="1" fillId="0" borderId="0" applyFont="0" applyFill="0" applyBorder="0" applyAlignment="0" applyProtection="0"/>
  </cellStyleXfs>
  <cellXfs count="687">
    <xf numFmtId="0" fontId="0" fillId="0" borderId="0" xfId="0"/>
    <xf numFmtId="0" fontId="12" fillId="0" borderId="0" xfId="1" applyFont="1" applyAlignment="1">
      <alignment horizontal="left" vertical="center"/>
    </xf>
    <xf numFmtId="0" fontId="12" fillId="0" borderId="0" xfId="1" applyFont="1" applyAlignment="1">
      <alignment vertical="center"/>
    </xf>
    <xf numFmtId="0" fontId="12" fillId="0" borderId="0" xfId="1" applyFont="1" applyAlignment="1">
      <alignment horizontal="center" vertical="center"/>
    </xf>
    <xf numFmtId="0" fontId="10" fillId="0" borderId="0" xfId="1" applyFont="1" applyAlignment="1">
      <alignment vertical="center"/>
    </xf>
    <xf numFmtId="0" fontId="12" fillId="2" borderId="0" xfId="1" applyFont="1" applyFill="1" applyAlignment="1">
      <alignment horizontal="center" vertical="center"/>
    </xf>
    <xf numFmtId="0" fontId="24" fillId="2" borderId="0" xfId="1" applyFont="1" applyFill="1" applyAlignment="1">
      <alignment vertical="center"/>
    </xf>
    <xf numFmtId="0" fontId="12" fillId="2" borderId="0" xfId="1" applyFont="1" applyFill="1" applyAlignment="1">
      <alignment horizontal="right" vertical="center"/>
    </xf>
    <xf numFmtId="0" fontId="12" fillId="2" borderId="0" xfId="1" applyFont="1" applyFill="1" applyAlignment="1">
      <alignment vertical="center"/>
    </xf>
    <xf numFmtId="0" fontId="14" fillId="2" borderId="0" xfId="1" applyFont="1" applyFill="1" applyAlignment="1">
      <alignment vertical="center"/>
    </xf>
    <xf numFmtId="0" fontId="14" fillId="2" borderId="0" xfId="1" applyFont="1" applyFill="1" applyAlignment="1">
      <alignment horizontal="center" vertical="center"/>
    </xf>
    <xf numFmtId="0" fontId="12" fillId="2" borderId="0" xfId="1" applyFont="1" applyFill="1" applyAlignment="1">
      <alignment horizontal="left" vertical="center"/>
    </xf>
    <xf numFmtId="164" fontId="12" fillId="2" borderId="0" xfId="1" applyNumberFormat="1" applyFont="1" applyFill="1" applyAlignment="1">
      <alignment vertical="center"/>
    </xf>
    <xf numFmtId="0" fontId="14" fillId="0" borderId="0" xfId="1" applyFont="1" applyAlignment="1">
      <alignment horizontal="center" vertical="center"/>
    </xf>
    <xf numFmtId="0" fontId="40" fillId="0" borderId="0" xfId="1" applyFont="1" applyAlignment="1">
      <alignment horizontal="center" vertical="center"/>
    </xf>
    <xf numFmtId="0" fontId="24" fillId="0" borderId="0" xfId="1" applyFont="1" applyAlignment="1">
      <alignment horizontal="center" vertical="center"/>
    </xf>
    <xf numFmtId="0" fontId="29" fillId="2" borderId="0" xfId="1" applyFont="1" applyFill="1" applyAlignment="1">
      <alignment horizontal="center" vertical="center"/>
    </xf>
    <xf numFmtId="0" fontId="29" fillId="2" borderId="0" xfId="1" applyFont="1" applyFill="1" applyAlignment="1">
      <alignment horizontal="left" vertical="center"/>
    </xf>
    <xf numFmtId="0" fontId="14" fillId="2" borderId="0" xfId="1" applyFont="1" applyFill="1" applyAlignment="1">
      <alignment horizontal="right" vertical="center"/>
    </xf>
    <xf numFmtId="0" fontId="24" fillId="2" borderId="0" xfId="1" applyFont="1" applyFill="1" applyAlignment="1">
      <alignment horizontal="right" vertical="center"/>
    </xf>
    <xf numFmtId="164" fontId="12" fillId="2" borderId="0" xfId="1" applyNumberFormat="1" applyFont="1" applyFill="1" applyAlignment="1">
      <alignment horizontal="right" vertical="center"/>
    </xf>
    <xf numFmtId="164" fontId="25" fillId="2" borderId="0" xfId="1" applyNumberFormat="1" applyFont="1" applyFill="1" applyAlignment="1">
      <alignment horizontal="right" vertical="center"/>
    </xf>
    <xf numFmtId="0" fontId="40" fillId="2" borderId="0" xfId="1" applyFont="1" applyFill="1" applyAlignment="1">
      <alignment horizontal="right" vertical="center"/>
    </xf>
    <xf numFmtId="164" fontId="25" fillId="2" borderId="0" xfId="1" applyNumberFormat="1" applyFont="1" applyFill="1" applyAlignment="1">
      <alignment vertical="center"/>
    </xf>
    <xf numFmtId="0" fontId="40" fillId="2" borderId="0" xfId="1" applyFont="1" applyFill="1" applyAlignment="1">
      <alignment vertical="center"/>
    </xf>
    <xf numFmtId="0" fontId="12" fillId="2" borderId="0" xfId="1" applyFont="1" applyFill="1" applyAlignment="1" applyProtection="1">
      <alignment horizontal="center" vertical="center"/>
    </xf>
    <xf numFmtId="0" fontId="12" fillId="2" borderId="0" xfId="1" applyFont="1" applyFill="1" applyAlignment="1" applyProtection="1">
      <alignment vertical="center" wrapText="1"/>
    </xf>
    <xf numFmtId="166" fontId="12" fillId="2" borderId="0" xfId="1" applyNumberFormat="1" applyFont="1" applyFill="1" applyAlignment="1" applyProtection="1">
      <alignment horizontal="right" vertical="center"/>
    </xf>
    <xf numFmtId="0" fontId="12" fillId="2" borderId="0" xfId="1" applyFont="1" applyFill="1" applyAlignment="1" applyProtection="1">
      <alignment horizontal="right" vertical="center"/>
    </xf>
    <xf numFmtId="0" fontId="12" fillId="2" borderId="0" xfId="1" applyFont="1" applyFill="1" applyAlignment="1" applyProtection="1">
      <alignment vertical="center"/>
    </xf>
    <xf numFmtId="0" fontId="12" fillId="2" borderId="0" xfId="1" applyFont="1" applyFill="1" applyAlignment="1" applyProtection="1">
      <alignment horizontal="left" vertical="center"/>
    </xf>
    <xf numFmtId="0" fontId="12" fillId="2" borderId="0" xfId="1" applyFont="1" applyFill="1" applyAlignment="1" applyProtection="1">
      <alignment horizontal="right" vertical="center"/>
    </xf>
    <xf numFmtId="0" fontId="12" fillId="2" borderId="0" xfId="1" applyFont="1" applyFill="1" applyAlignment="1" applyProtection="1">
      <alignment horizontal="center" vertical="center"/>
    </xf>
    <xf numFmtId="0" fontId="12" fillId="2" borderId="0" xfId="1" applyFont="1" applyFill="1" applyAlignment="1" applyProtection="1">
      <alignment horizontal="center" vertical="center" wrapText="1"/>
    </xf>
    <xf numFmtId="0" fontId="38" fillId="2" borderId="0" xfId="1" applyFont="1" applyFill="1" applyAlignment="1" applyProtection="1">
      <alignment horizontal="center" vertical="center"/>
    </xf>
    <xf numFmtId="0" fontId="15" fillId="2" borderId="0" xfId="1" applyFont="1" applyFill="1" applyAlignment="1" applyProtection="1">
      <alignment horizontal="center" vertical="center" wrapText="1"/>
    </xf>
    <xf numFmtId="166" fontId="38" fillId="2" borderId="0" xfId="1" applyNumberFormat="1" applyFont="1" applyFill="1" applyAlignment="1" applyProtection="1">
      <alignment horizontal="right" vertical="center"/>
    </xf>
    <xf numFmtId="49" fontId="15" fillId="2" borderId="0" xfId="4" applyNumberFormat="1" applyFont="1" applyFill="1" applyAlignment="1" applyProtection="1">
      <alignment horizontal="right" vertical="center"/>
    </xf>
    <xf numFmtId="0" fontId="38" fillId="2" borderId="0" xfId="1" applyFont="1" applyFill="1" applyAlignment="1" applyProtection="1">
      <alignment vertical="center"/>
    </xf>
    <xf numFmtId="49" fontId="14" fillId="2" borderId="0" xfId="4" applyNumberFormat="1" applyFont="1" applyFill="1" applyAlignment="1" applyProtection="1">
      <alignment horizontal="center" vertical="center" wrapText="1"/>
    </xf>
    <xf numFmtId="166" fontId="2" fillId="2" borderId="0" xfId="1" applyNumberFormat="1" applyFont="1" applyFill="1" applyAlignment="1" applyProtection="1">
      <alignment horizontal="right" vertical="center"/>
    </xf>
    <xf numFmtId="49" fontId="14" fillId="2" borderId="0" xfId="4" applyNumberFormat="1" applyFont="1" applyFill="1" applyAlignment="1" applyProtection="1">
      <alignment horizontal="right" vertical="center"/>
    </xf>
    <xf numFmtId="10" fontId="12" fillId="2" borderId="10" xfId="1" applyNumberFormat="1" applyFont="1" applyFill="1" applyBorder="1" applyAlignment="1" applyProtection="1">
      <alignment horizontal="center" vertical="center"/>
    </xf>
    <xf numFmtId="49" fontId="14" fillId="18" borderId="10" xfId="4" applyNumberFormat="1" applyFont="1" applyFill="1" applyBorder="1" applyAlignment="1" applyProtection="1">
      <alignment horizontal="center" vertical="center" wrapText="1"/>
    </xf>
    <xf numFmtId="0" fontId="14" fillId="18" borderId="10" xfId="1"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66" fontId="12" fillId="2" borderId="2" xfId="1" applyNumberFormat="1" applyFont="1" applyFill="1" applyBorder="1" applyAlignment="1" applyProtection="1">
      <alignment horizontal="center" vertical="center" wrapText="1"/>
    </xf>
    <xf numFmtId="10" fontId="12" fillId="2" borderId="0" xfId="1" applyNumberFormat="1" applyFont="1" applyFill="1" applyAlignment="1" applyProtection="1">
      <alignment vertical="center"/>
    </xf>
    <xf numFmtId="0" fontId="12" fillId="2" borderId="10" xfId="1" applyFont="1" applyFill="1" applyBorder="1" applyAlignment="1" applyProtection="1">
      <alignment horizontal="center" vertical="center"/>
    </xf>
    <xf numFmtId="0" fontId="14" fillId="2" borderId="10" xfId="5" applyNumberFormat="1" applyFont="1" applyFill="1" applyBorder="1" applyAlignment="1" applyProtection="1">
      <alignment horizontal="center" vertical="center" wrapText="1"/>
    </xf>
    <xf numFmtId="0" fontId="12" fillId="2" borderId="10" xfId="5" applyNumberFormat="1" applyFont="1" applyFill="1" applyBorder="1" applyAlignment="1" applyProtection="1">
      <alignment horizontal="right" vertical="center" wrapText="1"/>
    </xf>
    <xf numFmtId="0" fontId="12" fillId="2" borderId="9" xfId="1" applyFont="1" applyFill="1" applyBorder="1" applyAlignment="1" applyProtection="1">
      <alignment horizontal="center" vertical="center" wrapText="1"/>
    </xf>
    <xf numFmtId="49" fontId="14" fillId="16" borderId="10" xfId="4" applyNumberFormat="1" applyFont="1" applyFill="1" applyBorder="1" applyAlignment="1" applyProtection="1">
      <alignment horizontal="center" vertical="center" wrapText="1"/>
    </xf>
    <xf numFmtId="166" fontId="14" fillId="16" borderId="10" xfId="1" applyNumberFormat="1" applyFont="1" applyFill="1" applyBorder="1" applyAlignment="1" applyProtection="1">
      <alignment horizontal="right" vertical="center"/>
    </xf>
    <xf numFmtId="166" fontId="14" fillId="2" borderId="10" xfId="1" applyNumberFormat="1" applyFont="1" applyFill="1" applyBorder="1" applyAlignment="1" applyProtection="1">
      <alignment horizontal="right" vertical="center"/>
    </xf>
    <xf numFmtId="0" fontId="12" fillId="2" borderId="11" xfId="1" applyFont="1" applyFill="1" applyBorder="1" applyAlignment="1" applyProtection="1">
      <alignment horizontal="center" vertical="center" wrapText="1"/>
    </xf>
    <xf numFmtId="49" fontId="14" fillId="2" borderId="10" xfId="4" applyNumberFormat="1" applyFont="1" applyFill="1" applyBorder="1" applyAlignment="1" applyProtection="1">
      <alignment horizontal="left" vertical="center" wrapText="1"/>
    </xf>
    <xf numFmtId="0" fontId="12" fillId="2" borderId="3" xfId="1" applyFont="1" applyFill="1" applyBorder="1" applyAlignment="1" applyProtection="1">
      <alignment horizontal="center" vertical="center"/>
    </xf>
    <xf numFmtId="49" fontId="12" fillId="2" borderId="10" xfId="4" applyNumberFormat="1" applyFont="1" applyFill="1" applyBorder="1" applyAlignment="1" applyProtection="1">
      <alignment horizontal="left" vertical="center" wrapText="1"/>
    </xf>
    <xf numFmtId="166" fontId="12" fillId="2" borderId="3" xfId="1" applyNumberFormat="1" applyFont="1" applyFill="1" applyBorder="1" applyAlignment="1" applyProtection="1">
      <alignment horizontal="right" vertical="center"/>
    </xf>
    <xf numFmtId="166" fontId="12" fillId="2" borderId="10" xfId="1" applyNumberFormat="1" applyFont="1" applyFill="1" applyBorder="1" applyAlignment="1" applyProtection="1">
      <alignment horizontal="right" vertical="center"/>
    </xf>
    <xf numFmtId="166" fontId="12" fillId="2" borderId="10" xfId="4" applyNumberFormat="1" applyFont="1" applyFill="1" applyBorder="1" applyAlignment="1" applyProtection="1">
      <alignment horizontal="right" vertical="center" wrapText="1"/>
    </xf>
    <xf numFmtId="166" fontId="14" fillId="2" borderId="10" xfId="4" applyNumberFormat="1" applyFont="1" applyFill="1" applyBorder="1" applyAlignment="1" applyProtection="1">
      <alignment horizontal="right" vertical="center" wrapText="1"/>
    </xf>
    <xf numFmtId="49" fontId="12" fillId="2" borderId="10" xfId="4" applyNumberFormat="1" applyFont="1" applyFill="1" applyBorder="1" applyAlignment="1" applyProtection="1">
      <alignment vertical="center" wrapText="1"/>
    </xf>
    <xf numFmtId="166" fontId="12" fillId="2" borderId="10" xfId="3" applyNumberFormat="1" applyFont="1" applyFill="1" applyBorder="1" applyAlignment="1" applyProtection="1">
      <alignment horizontal="right" vertical="center"/>
    </xf>
    <xf numFmtId="49" fontId="12" fillId="2" borderId="10" xfId="4" applyNumberFormat="1" applyFont="1" applyFill="1" applyBorder="1" applyAlignment="1" applyProtection="1">
      <alignment horizontal="right" vertical="center" wrapText="1"/>
    </xf>
    <xf numFmtId="0" fontId="12" fillId="2" borderId="3" xfId="1" applyFont="1" applyFill="1" applyBorder="1" applyAlignment="1" applyProtection="1">
      <alignment horizontal="center" vertical="center" wrapText="1"/>
    </xf>
    <xf numFmtId="49" fontId="14" fillId="2" borderId="10" xfId="4" applyNumberFormat="1" applyFont="1" applyFill="1" applyBorder="1" applyAlignment="1" applyProtection="1">
      <alignment vertical="center" wrapText="1"/>
    </xf>
    <xf numFmtId="0" fontId="12" fillId="2" borderId="3" xfId="1" applyFont="1" applyFill="1" applyBorder="1" applyAlignment="1" applyProtection="1">
      <alignment vertical="center"/>
    </xf>
    <xf numFmtId="166" fontId="12" fillId="2" borderId="5" xfId="1" applyNumberFormat="1" applyFont="1" applyFill="1" applyBorder="1" applyAlignment="1" applyProtection="1">
      <alignment vertical="center"/>
    </xf>
    <xf numFmtId="0" fontId="12" fillId="2" borderId="5" xfId="1" applyFont="1" applyFill="1" applyBorder="1" applyAlignment="1" applyProtection="1">
      <alignment vertical="center"/>
    </xf>
    <xf numFmtId="166" fontId="12" fillId="2" borderId="0" xfId="1" applyNumberFormat="1" applyFont="1" applyFill="1" applyAlignment="1" applyProtection="1">
      <alignment vertical="center"/>
    </xf>
    <xf numFmtId="2" fontId="14" fillId="2" borderId="10" xfId="4" applyNumberFormat="1" applyFont="1" applyFill="1" applyBorder="1" applyAlignment="1" applyProtection="1">
      <alignment vertical="center" wrapText="1"/>
    </xf>
    <xf numFmtId="166" fontId="14" fillId="2" borderId="10" xfId="3" applyNumberFormat="1" applyFont="1" applyFill="1" applyBorder="1" applyAlignment="1" applyProtection="1">
      <alignment horizontal="right" vertical="center"/>
    </xf>
    <xf numFmtId="166" fontId="14" fillId="2" borderId="10" xfId="3" applyNumberFormat="1" applyFont="1" applyFill="1" applyBorder="1" applyAlignment="1" applyProtection="1">
      <alignment horizontal="center" vertical="center"/>
    </xf>
    <xf numFmtId="0" fontId="12" fillId="2" borderId="10" xfId="1" applyFont="1" applyFill="1" applyBorder="1" applyAlignment="1" applyProtection="1">
      <alignment vertical="center" wrapText="1"/>
    </xf>
    <xf numFmtId="166" fontId="12" fillId="2" borderId="10" xfId="1" applyNumberFormat="1" applyFont="1" applyFill="1" applyBorder="1" applyAlignment="1" applyProtection="1">
      <alignment horizontal="right" vertical="center" wrapText="1"/>
    </xf>
    <xf numFmtId="0" fontId="12" fillId="2" borderId="10" xfId="1" applyFont="1" applyFill="1" applyBorder="1" applyAlignment="1" applyProtection="1">
      <alignment horizontal="left" vertical="center" wrapText="1"/>
    </xf>
    <xf numFmtId="0" fontId="14" fillId="2" borderId="10" xfId="1" applyFont="1" applyFill="1" applyBorder="1" applyAlignment="1" applyProtection="1">
      <alignment vertical="center" wrapText="1"/>
    </xf>
    <xf numFmtId="0" fontId="14" fillId="2" borderId="3" xfId="1" applyFont="1" applyFill="1" applyBorder="1" applyAlignment="1" applyProtection="1">
      <alignment horizontal="center" vertical="center"/>
    </xf>
    <xf numFmtId="0" fontId="14" fillId="2" borderId="0" xfId="1" applyFont="1" applyFill="1" applyAlignment="1" applyProtection="1">
      <alignment vertical="center"/>
    </xf>
    <xf numFmtId="166" fontId="14" fillId="2" borderId="0" xfId="1" applyNumberFormat="1" applyFont="1" applyFill="1" applyAlignment="1" applyProtection="1">
      <alignment vertical="center"/>
    </xf>
    <xf numFmtId="49" fontId="14" fillId="45" borderId="10" xfId="4" applyNumberFormat="1" applyFont="1" applyFill="1" applyBorder="1" applyAlignment="1" applyProtection="1">
      <alignment horizontal="center" vertical="center" wrapText="1"/>
    </xf>
    <xf numFmtId="166" fontId="14" fillId="45" borderId="10" xfId="1" applyNumberFormat="1" applyFont="1" applyFill="1" applyBorder="1" applyAlignment="1" applyProtection="1">
      <alignment horizontal="right" vertical="center"/>
    </xf>
    <xf numFmtId="166" fontId="14" fillId="2" borderId="10" xfId="1" applyNumberFormat="1" applyFont="1" applyFill="1" applyBorder="1" applyAlignment="1" applyProtection="1">
      <alignment horizontal="center" vertical="center"/>
    </xf>
    <xf numFmtId="49" fontId="14" fillId="2" borderId="10" xfId="4" applyNumberFormat="1" applyFont="1" applyFill="1" applyBorder="1" applyAlignment="1" applyProtection="1">
      <alignment horizontal="center" vertical="center" wrapText="1"/>
    </xf>
    <xf numFmtId="0" fontId="12" fillId="2" borderId="10" xfId="3" applyFont="1" applyFill="1" applyBorder="1" applyAlignment="1" applyProtection="1">
      <alignment horizontal="left" vertical="center" wrapText="1"/>
    </xf>
    <xf numFmtId="166" fontId="12" fillId="2" borderId="10" xfId="3" applyNumberFormat="1" applyFont="1" applyFill="1" applyBorder="1" applyAlignment="1" applyProtection="1">
      <alignment horizontal="right" vertical="center" wrapText="1"/>
    </xf>
    <xf numFmtId="0" fontId="14" fillId="2" borderId="10" xfId="3" applyFont="1" applyFill="1" applyBorder="1" applyAlignment="1" applyProtection="1">
      <alignment horizontal="center" vertical="center" wrapText="1"/>
    </xf>
    <xf numFmtId="166" fontId="14" fillId="2" borderId="10" xfId="3" applyNumberFormat="1" applyFont="1" applyFill="1" applyBorder="1" applyAlignment="1" applyProtection="1">
      <alignment horizontal="right" vertical="center" wrapText="1"/>
    </xf>
    <xf numFmtId="0" fontId="14" fillId="43" borderId="10" xfId="1" applyFont="1" applyFill="1" applyBorder="1" applyAlignment="1" applyProtection="1">
      <alignment horizontal="center" vertical="center" wrapText="1"/>
    </xf>
    <xf numFmtId="166" fontId="14" fillId="43" borderId="10" xfId="1" applyNumberFormat="1" applyFont="1" applyFill="1" applyBorder="1" applyAlignment="1" applyProtection="1">
      <alignment horizontal="right" vertical="center"/>
    </xf>
    <xf numFmtId="0" fontId="12" fillId="2" borderId="10" xfId="1" applyFont="1" applyFill="1" applyBorder="1" applyAlignment="1" applyProtection="1">
      <alignment horizontal="right" vertical="center"/>
    </xf>
    <xf numFmtId="0" fontId="14" fillId="2" borderId="10" xfId="3" applyFont="1" applyFill="1" applyBorder="1" applyAlignment="1" applyProtection="1">
      <alignment horizontal="right" vertical="center" wrapText="1"/>
    </xf>
    <xf numFmtId="0" fontId="7" fillId="0" borderId="0" xfId="1" applyFont="1" applyAlignment="1" applyProtection="1">
      <alignment horizontal="center" vertical="center"/>
    </xf>
    <xf numFmtId="0" fontId="7" fillId="0" borderId="0" xfId="1" applyFont="1" applyAlignment="1" applyProtection="1">
      <alignment horizontal="center" vertical="center"/>
    </xf>
    <xf numFmtId="0" fontId="8" fillId="0" borderId="0" xfId="1" applyFont="1" applyAlignment="1" applyProtection="1">
      <alignment vertical="center"/>
    </xf>
    <xf numFmtId="0" fontId="7" fillId="0" borderId="0" xfId="1" applyFont="1" applyAlignment="1" applyProtection="1">
      <alignment vertical="center"/>
    </xf>
    <xf numFmtId="0" fontId="8" fillId="0" borderId="0" xfId="1" applyFont="1" applyAlignment="1" applyProtection="1">
      <alignment vertical="center"/>
    </xf>
    <xf numFmtId="0" fontId="9" fillId="2" borderId="0" xfId="1" applyFont="1" applyFill="1" applyAlignment="1" applyProtection="1">
      <alignment horizontal="center" vertical="center"/>
    </xf>
    <xf numFmtId="0" fontId="9" fillId="2" borderId="0" xfId="1" applyFont="1" applyFill="1" applyAlignment="1" applyProtection="1">
      <alignment horizontal="center" vertical="center" wrapText="1"/>
    </xf>
    <xf numFmtId="0" fontId="10" fillId="2" borderId="0" xfId="1" applyFont="1" applyFill="1" applyAlignment="1" applyProtection="1">
      <alignment vertical="center"/>
    </xf>
    <xf numFmtId="0" fontId="11" fillId="2" borderId="0" xfId="1" applyFont="1" applyFill="1" applyAlignment="1" applyProtection="1">
      <alignment vertical="center"/>
    </xf>
    <xf numFmtId="0" fontId="10" fillId="2" borderId="0" xfId="1" applyFont="1" applyFill="1" applyAlignment="1" applyProtection="1">
      <alignment horizontal="center" vertical="center"/>
    </xf>
    <xf numFmtId="0" fontId="9" fillId="2" borderId="0" xfId="1" applyFont="1" applyFill="1" applyAlignment="1" applyProtection="1">
      <alignment vertical="center"/>
    </xf>
    <xf numFmtId="0" fontId="12" fillId="2" borderId="1" xfId="1" applyFont="1" applyFill="1" applyBorder="1" applyAlignment="1" applyProtection="1">
      <alignment vertical="center"/>
    </xf>
    <xf numFmtId="0" fontId="10" fillId="2" borderId="1" xfId="1" applyFont="1" applyFill="1" applyBorder="1" applyAlignment="1" applyProtection="1">
      <alignment vertical="center"/>
    </xf>
    <xf numFmtId="0" fontId="12" fillId="0" borderId="0" xfId="1" applyFont="1" applyAlignment="1" applyProtection="1">
      <alignment horizontal="left" vertical="center"/>
    </xf>
    <xf numFmtId="0" fontId="13" fillId="0" borderId="2" xfId="2" applyFont="1" applyBorder="1" applyAlignment="1" applyProtection="1">
      <alignment vertical="center" wrapText="1"/>
    </xf>
    <xf numFmtId="0" fontId="9" fillId="0" borderId="2" xfId="1" applyFont="1" applyBorder="1" applyAlignment="1" applyProtection="1">
      <alignment horizontal="center" vertical="center" wrapText="1"/>
    </xf>
    <xf numFmtId="0" fontId="9" fillId="0" borderId="6" xfId="1" applyFont="1" applyBorder="1" applyAlignment="1" applyProtection="1">
      <alignment horizontal="center" vertical="center" wrapText="1"/>
    </xf>
    <xf numFmtId="0" fontId="9" fillId="0" borderId="7" xfId="1" applyFont="1" applyBorder="1" applyAlignment="1" applyProtection="1">
      <alignment horizontal="center" vertical="center" wrapText="1"/>
    </xf>
    <xf numFmtId="0" fontId="9" fillId="0" borderId="8" xfId="1" applyFont="1" applyBorder="1" applyAlignment="1" applyProtection="1">
      <alignment horizontal="center" vertical="center" wrapText="1"/>
    </xf>
    <xf numFmtId="0" fontId="14" fillId="0" borderId="0" xfId="1" applyFont="1" applyAlignment="1" applyProtection="1">
      <alignment vertical="center"/>
    </xf>
    <xf numFmtId="0" fontId="12" fillId="0" borderId="0" xfId="1" applyFont="1" applyAlignment="1" applyProtection="1">
      <alignment vertical="center"/>
    </xf>
    <xf numFmtId="164" fontId="14" fillId="2" borderId="6" xfId="3" applyNumberFormat="1" applyFont="1" applyFill="1" applyBorder="1" applyAlignment="1" applyProtection="1">
      <alignment horizontal="center" vertical="center" wrapText="1"/>
    </xf>
    <xf numFmtId="164" fontId="14" fillId="2" borderId="6" xfId="3" applyNumberFormat="1" applyFont="1" applyFill="1" applyBorder="1" applyAlignment="1" applyProtection="1">
      <alignment horizontal="left" vertical="center" wrapText="1"/>
    </xf>
    <xf numFmtId="164" fontId="12" fillId="2" borderId="6" xfId="3" applyNumberFormat="1" applyFont="1" applyFill="1" applyBorder="1" applyAlignment="1" applyProtection="1">
      <alignment horizontal="center" vertical="center" wrapText="1"/>
    </xf>
    <xf numFmtId="164" fontId="12" fillId="2" borderId="7" xfId="3" applyNumberFormat="1" applyFont="1" applyFill="1" applyBorder="1" applyAlignment="1" applyProtection="1">
      <alignment horizontal="center" vertical="center" wrapText="1"/>
    </xf>
    <xf numFmtId="164" fontId="12" fillId="2" borderId="8" xfId="3" applyNumberFormat="1" applyFont="1" applyFill="1" applyBorder="1" applyAlignment="1" applyProtection="1">
      <alignment horizontal="center" vertical="center" wrapText="1"/>
    </xf>
    <xf numFmtId="0" fontId="12" fillId="0" borderId="0" xfId="1" applyFont="1" applyAlignment="1" applyProtection="1">
      <alignment horizontal="center" vertical="center"/>
    </xf>
    <xf numFmtId="0" fontId="15" fillId="23" borderId="10" xfId="2" applyFont="1" applyFill="1" applyBorder="1" applyAlignment="1" applyProtection="1">
      <alignment horizontal="center" vertical="center" wrapText="1"/>
    </xf>
    <xf numFmtId="0" fontId="15" fillId="23" borderId="10" xfId="1" applyFont="1" applyFill="1" applyBorder="1" applyAlignment="1" applyProtection="1">
      <alignment horizontal="center" vertical="center" wrapText="1"/>
    </xf>
    <xf numFmtId="0" fontId="15" fillId="23" borderId="10" xfId="1" applyFont="1" applyFill="1" applyBorder="1" applyAlignment="1" applyProtection="1">
      <alignment horizontal="center" vertical="center" wrapText="1"/>
    </xf>
    <xf numFmtId="164" fontId="15" fillId="23" borderId="10" xfId="3" applyNumberFormat="1" applyFont="1" applyFill="1" applyBorder="1" applyAlignment="1" applyProtection="1">
      <alignment horizontal="center" vertical="center" wrapText="1"/>
    </xf>
    <xf numFmtId="164" fontId="15" fillId="23" borderId="10" xfId="3" applyNumberFormat="1" applyFont="1" applyFill="1" applyBorder="1" applyAlignment="1" applyProtection="1">
      <alignment horizontal="center" vertical="center" wrapText="1"/>
    </xf>
    <xf numFmtId="0" fontId="16" fillId="23" borderId="10" xfId="1" applyFont="1" applyFill="1" applyBorder="1" applyAlignment="1" applyProtection="1">
      <alignment horizontal="center" vertical="center" wrapText="1"/>
    </xf>
    <xf numFmtId="0" fontId="10" fillId="0" borderId="7" xfId="1" applyFont="1" applyBorder="1" applyAlignment="1" applyProtection="1">
      <alignment horizontal="center" vertical="center"/>
    </xf>
    <xf numFmtId="0" fontId="10" fillId="20" borderId="10" xfId="1" applyFont="1" applyFill="1" applyBorder="1" applyAlignment="1" applyProtection="1">
      <alignment horizontal="center" vertical="center" wrapText="1"/>
    </xf>
    <xf numFmtId="0" fontId="10" fillId="3" borderId="10" xfId="1" applyFont="1" applyFill="1" applyBorder="1" applyAlignment="1" applyProtection="1">
      <alignment horizontal="center" vertical="center" wrapText="1"/>
    </xf>
    <xf numFmtId="0" fontId="9" fillId="0" borderId="10" xfId="1" applyFont="1" applyBorder="1" applyAlignment="1" applyProtection="1">
      <alignment horizontal="center" vertical="center" wrapText="1"/>
    </xf>
    <xf numFmtId="0" fontId="10" fillId="22" borderId="10" xfId="1" applyFont="1" applyFill="1" applyBorder="1" applyAlignment="1" applyProtection="1">
      <alignment horizontal="center" vertical="center" wrapText="1"/>
    </xf>
    <xf numFmtId="0" fontId="10" fillId="6" borderId="10" xfId="1" applyFont="1" applyFill="1" applyBorder="1" applyAlignment="1" applyProtection="1">
      <alignment horizontal="center" vertical="center" wrapText="1"/>
    </xf>
    <xf numFmtId="0" fontId="14" fillId="0" borderId="10" xfId="1" applyFont="1" applyBorder="1" applyAlignment="1" applyProtection="1">
      <alignment horizontal="center" vertical="center" wrapText="1"/>
    </xf>
    <xf numFmtId="0" fontId="9" fillId="11" borderId="2" xfId="1" applyFont="1" applyFill="1" applyBorder="1" applyAlignment="1" applyProtection="1">
      <alignment horizontal="center" vertical="center" wrapText="1"/>
    </xf>
    <xf numFmtId="0" fontId="12" fillId="0" borderId="10" xfId="2" applyFont="1" applyBorder="1" applyAlignment="1" applyProtection="1">
      <alignment horizontal="center" vertical="center" wrapText="1"/>
    </xf>
    <xf numFmtId="0" fontId="12" fillId="5" borderId="10" xfId="2" applyFont="1" applyFill="1" applyBorder="1" applyAlignment="1" applyProtection="1">
      <alignment horizontal="center" vertical="center" wrapText="1"/>
    </xf>
    <xf numFmtId="0" fontId="12" fillId="7" borderId="10" xfId="2" applyFont="1" applyFill="1" applyBorder="1" applyAlignment="1" applyProtection="1">
      <alignment horizontal="center" vertical="center" wrapText="1"/>
    </xf>
    <xf numFmtId="0" fontId="12" fillId="3" borderId="10" xfId="2" applyFont="1" applyFill="1" applyBorder="1" applyAlignment="1" applyProtection="1">
      <alignment horizontal="center" vertical="center" wrapText="1"/>
    </xf>
    <xf numFmtId="0" fontId="12" fillId="10" borderId="10" xfId="2" applyFont="1" applyFill="1" applyBorder="1" applyAlignment="1" applyProtection="1">
      <alignment horizontal="center" vertical="center" wrapText="1"/>
    </xf>
    <xf numFmtId="0" fontId="12" fillId="0" borderId="10" xfId="2" applyFont="1" applyBorder="1" applyAlignment="1" applyProtection="1">
      <alignment horizontal="left" vertical="center" wrapText="1"/>
    </xf>
    <xf numFmtId="0" fontId="19" fillId="5" borderId="10" xfId="2" applyFont="1" applyFill="1" applyBorder="1" applyAlignment="1" applyProtection="1">
      <alignment horizontal="center" vertical="center" wrapText="1"/>
    </xf>
    <xf numFmtId="0" fontId="12" fillId="12" borderId="10" xfId="2" applyFont="1" applyFill="1" applyBorder="1" applyAlignment="1" applyProtection="1">
      <alignment horizontal="center" vertical="center" wrapText="1"/>
    </xf>
    <xf numFmtId="0" fontId="12" fillId="2" borderId="10" xfId="2" applyFont="1" applyFill="1" applyBorder="1" applyAlignment="1" applyProtection="1">
      <alignment horizontal="center" vertical="center" wrapText="1"/>
    </xf>
    <xf numFmtId="0" fontId="13" fillId="0" borderId="10" xfId="2" applyFont="1" applyBorder="1" applyAlignment="1" applyProtection="1">
      <alignment horizontal="center" vertical="center" wrapText="1"/>
    </xf>
    <xf numFmtId="0" fontId="13" fillId="20" borderId="10" xfId="2" applyFont="1" applyFill="1" applyBorder="1" applyAlignment="1" applyProtection="1">
      <alignment horizontal="center" vertical="center" wrapText="1"/>
    </xf>
    <xf numFmtId="0" fontId="13" fillId="3" borderId="10" xfId="2" applyFont="1" applyFill="1" applyBorder="1" applyAlignment="1" applyProtection="1">
      <alignment horizontal="left" vertical="center" wrapText="1"/>
    </xf>
    <xf numFmtId="0" fontId="13" fillId="22" borderId="10" xfId="2" applyFont="1" applyFill="1" applyBorder="1" applyAlignment="1" applyProtection="1">
      <alignment horizontal="center" vertical="center" wrapText="1"/>
    </xf>
    <xf numFmtId="0" fontId="13" fillId="6" borderId="10" xfId="2" applyFont="1" applyFill="1" applyBorder="1" applyAlignment="1" applyProtection="1">
      <alignment horizontal="center" vertical="center" wrapText="1"/>
    </xf>
    <xf numFmtId="0" fontId="14" fillId="0" borderId="10" xfId="1" applyFont="1" applyBorder="1" applyAlignment="1" applyProtection="1">
      <alignment horizontal="center" vertical="center"/>
    </xf>
    <xf numFmtId="0" fontId="14" fillId="32" borderId="10" xfId="1" applyFont="1" applyFill="1" applyBorder="1" applyAlignment="1" applyProtection="1">
      <alignment horizontal="left" vertical="center" wrapText="1" readingOrder="1"/>
    </xf>
    <xf numFmtId="166" fontId="12" fillId="0" borderId="10" xfId="1" applyNumberFormat="1" applyFont="1" applyBorder="1" applyAlignment="1" applyProtection="1">
      <alignment vertical="center"/>
    </xf>
    <xf numFmtId="166" fontId="12" fillId="18" borderId="10" xfId="1" applyNumberFormat="1" applyFont="1" applyFill="1" applyBorder="1" applyAlignment="1" applyProtection="1">
      <alignment vertical="center"/>
    </xf>
    <xf numFmtId="166" fontId="19" fillId="0" borderId="10" xfId="1" applyNumberFormat="1" applyFont="1" applyBorder="1" applyAlignment="1" applyProtection="1">
      <alignment vertical="center"/>
    </xf>
    <xf numFmtId="166" fontId="10" fillId="0" borderId="10" xfId="1" applyNumberFormat="1" applyFont="1" applyBorder="1" applyAlignment="1" applyProtection="1">
      <alignment vertical="center"/>
    </xf>
    <xf numFmtId="166" fontId="10" fillId="20" borderId="10" xfId="1" applyNumberFormat="1" applyFont="1" applyFill="1" applyBorder="1" applyAlignment="1" applyProtection="1">
      <alignment vertical="center"/>
    </xf>
    <xf numFmtId="166" fontId="10" fillId="3" borderId="10" xfId="1" applyNumberFormat="1" applyFont="1" applyFill="1" applyBorder="1" applyAlignment="1" applyProtection="1">
      <alignment vertical="center"/>
    </xf>
    <xf numFmtId="166" fontId="9" fillId="0" borderId="10" xfId="1" applyNumberFormat="1" applyFont="1" applyBorder="1" applyAlignment="1" applyProtection="1">
      <alignment vertical="center"/>
    </xf>
    <xf numFmtId="166" fontId="10" fillId="22" borderId="10" xfId="1" applyNumberFormat="1" applyFont="1" applyFill="1" applyBorder="1" applyAlignment="1" applyProtection="1">
      <alignment vertical="center"/>
    </xf>
    <xf numFmtId="166" fontId="10" fillId="6" borderId="10" xfId="1" applyNumberFormat="1" applyFont="1" applyFill="1" applyBorder="1" applyAlignment="1" applyProtection="1">
      <alignment vertical="center"/>
    </xf>
    <xf numFmtId="10" fontId="10" fillId="0" borderId="0" xfId="1" applyNumberFormat="1" applyFont="1" applyAlignment="1" applyProtection="1">
      <alignment vertical="center"/>
    </xf>
    <xf numFmtId="0" fontId="10" fillId="0" borderId="0" xfId="1" applyFont="1" applyAlignment="1" applyProtection="1">
      <alignment vertical="center"/>
    </xf>
    <xf numFmtId="0" fontId="14" fillId="2" borderId="10" xfId="1" applyFont="1" applyFill="1" applyBorder="1" applyAlignment="1" applyProtection="1">
      <alignment horizontal="left" vertical="center" wrapText="1"/>
    </xf>
    <xf numFmtId="0" fontId="15" fillId="23" borderId="10" xfId="1" applyFont="1" applyFill="1" applyBorder="1" applyAlignment="1" applyProtection="1">
      <alignment horizontal="center" vertical="center"/>
    </xf>
    <xf numFmtId="0" fontId="15" fillId="23" borderId="10" xfId="1" applyFont="1" applyFill="1" applyBorder="1" applyAlignment="1" applyProtection="1">
      <alignment horizontal="right" vertical="center" wrapText="1"/>
    </xf>
    <xf numFmtId="166" fontId="15" fillId="23" borderId="10" xfId="1" applyNumberFormat="1" applyFont="1" applyFill="1" applyBorder="1" applyAlignment="1" applyProtection="1">
      <alignment vertical="center"/>
    </xf>
    <xf numFmtId="166" fontId="16" fillId="23" borderId="10" xfId="1" applyNumberFormat="1" applyFont="1" applyFill="1" applyBorder="1" applyAlignment="1" applyProtection="1">
      <alignment vertical="center"/>
    </xf>
    <xf numFmtId="166" fontId="15" fillId="23" borderId="10" xfId="1" applyNumberFormat="1" applyFont="1" applyFill="1" applyBorder="1" applyAlignment="1" applyProtection="1">
      <alignment horizontal="center" vertical="center"/>
    </xf>
    <xf numFmtId="166" fontId="20" fillId="7" borderId="2" xfId="1" applyNumberFormat="1" applyFont="1" applyFill="1" applyBorder="1" applyAlignment="1" applyProtection="1">
      <alignment vertical="center"/>
    </xf>
    <xf numFmtId="166" fontId="20" fillId="20" borderId="2" xfId="1" applyNumberFormat="1" applyFont="1" applyFill="1" applyBorder="1" applyAlignment="1" applyProtection="1">
      <alignment vertical="center"/>
    </xf>
    <xf numFmtId="166" fontId="20" fillId="3" borderId="2" xfId="1" applyNumberFormat="1" applyFont="1" applyFill="1" applyBorder="1" applyAlignment="1" applyProtection="1">
      <alignment vertical="center"/>
    </xf>
    <xf numFmtId="166" fontId="20" fillId="22" borderId="2" xfId="1" applyNumberFormat="1" applyFont="1" applyFill="1" applyBorder="1" applyAlignment="1" applyProtection="1">
      <alignment vertical="center"/>
    </xf>
    <xf numFmtId="0" fontId="21" fillId="0" borderId="0" xfId="1" applyFont="1" applyAlignment="1" applyProtection="1">
      <alignment vertical="center"/>
    </xf>
    <xf numFmtId="0" fontId="10" fillId="0" borderId="0" xfId="1" applyFont="1" applyAlignment="1" applyProtection="1">
      <alignment horizontal="center" vertical="center"/>
    </xf>
    <xf numFmtId="0" fontId="22" fillId="2" borderId="0" xfId="1" applyFont="1" applyFill="1" applyAlignment="1" applyProtection="1">
      <alignment horizontal="right" vertical="center" wrapText="1"/>
    </xf>
    <xf numFmtId="166" fontId="9" fillId="5" borderId="11" xfId="1" applyNumberFormat="1" applyFont="1" applyFill="1" applyBorder="1" applyAlignment="1" applyProtection="1">
      <alignment horizontal="center" vertical="center"/>
    </xf>
    <xf numFmtId="166" fontId="9" fillId="5" borderId="12" xfId="1" applyNumberFormat="1" applyFont="1" applyFill="1" applyBorder="1" applyAlignment="1" applyProtection="1">
      <alignment horizontal="center" vertical="center"/>
    </xf>
    <xf numFmtId="166" fontId="9" fillId="33" borderId="1" xfId="1" applyNumberFormat="1" applyFont="1" applyFill="1" applyBorder="1" applyAlignment="1" applyProtection="1">
      <alignment horizontal="center" vertical="center"/>
    </xf>
    <xf numFmtId="164" fontId="9" fillId="33" borderId="1" xfId="1" applyNumberFormat="1" applyFont="1" applyFill="1" applyBorder="1" applyAlignment="1" applyProtection="1">
      <alignment horizontal="center" vertical="center"/>
    </xf>
    <xf numFmtId="164" fontId="9" fillId="33" borderId="0" xfId="1" applyNumberFormat="1" applyFont="1" applyFill="1" applyAlignment="1" applyProtection="1">
      <alignment horizontal="center" vertical="center"/>
    </xf>
    <xf numFmtId="164" fontId="10" fillId="33" borderId="0" xfId="1" applyNumberFormat="1" applyFont="1" applyFill="1" applyAlignment="1" applyProtection="1">
      <alignment horizontal="center" vertical="center" wrapText="1"/>
    </xf>
    <xf numFmtId="166" fontId="23" fillId="5" borderId="9" xfId="1" applyNumberFormat="1" applyFont="1" applyFill="1" applyBorder="1" applyAlignment="1" applyProtection="1">
      <alignment horizontal="center" vertical="center"/>
    </xf>
    <xf numFmtId="2" fontId="11" fillId="10" borderId="12" xfId="1" applyNumberFormat="1" applyFont="1" applyFill="1" applyBorder="1" applyAlignment="1" applyProtection="1">
      <alignment horizontal="center" vertical="center" wrapText="1"/>
    </xf>
    <xf numFmtId="166" fontId="10" fillId="10" borderId="11" xfId="1" applyNumberFormat="1" applyFont="1" applyFill="1" applyBorder="1" applyAlignment="1" applyProtection="1">
      <alignment vertical="center"/>
    </xf>
    <xf numFmtId="0" fontId="10" fillId="10" borderId="11" xfId="1" applyFont="1" applyFill="1" applyBorder="1" applyAlignment="1" applyProtection="1">
      <alignment vertical="center"/>
    </xf>
    <xf numFmtId="166" fontId="24" fillId="10" borderId="11" xfId="1" applyNumberFormat="1" applyFont="1" applyFill="1" applyBorder="1" applyAlignment="1" applyProtection="1">
      <alignment vertical="center"/>
    </xf>
    <xf numFmtId="166" fontId="24" fillId="10" borderId="11" xfId="1" applyNumberFormat="1" applyFont="1" applyFill="1" applyBorder="1" applyAlignment="1" applyProtection="1">
      <alignment horizontal="center" vertical="center"/>
    </xf>
    <xf numFmtId="166" fontId="10" fillId="10" borderId="11" xfId="1" applyNumberFormat="1" applyFont="1" applyFill="1" applyBorder="1" applyAlignment="1" applyProtection="1">
      <alignment horizontal="center" vertical="center"/>
    </xf>
    <xf numFmtId="166" fontId="9" fillId="2" borderId="0" xfId="1" applyNumberFormat="1" applyFont="1" applyFill="1" applyAlignment="1" applyProtection="1">
      <alignment vertical="center"/>
    </xf>
    <xf numFmtId="166" fontId="9" fillId="0" borderId="0" xfId="1" applyNumberFormat="1" applyFont="1" applyAlignment="1" applyProtection="1">
      <alignment vertical="center"/>
    </xf>
    <xf numFmtId="164" fontId="10" fillId="0" borderId="0" xfId="1" applyNumberFormat="1" applyFont="1" applyAlignment="1" applyProtection="1">
      <alignment horizontal="center" vertical="center"/>
    </xf>
    <xf numFmtId="0" fontId="9" fillId="0" borderId="0" xfId="1" applyFont="1" applyAlignment="1" applyProtection="1">
      <alignment horizontal="center" vertical="center"/>
    </xf>
    <xf numFmtId="0" fontId="10" fillId="0" borderId="0" xfId="1" applyFont="1" applyAlignment="1" applyProtection="1">
      <alignment horizontal="center" vertical="center"/>
    </xf>
    <xf numFmtId="166" fontId="25" fillId="0" borderId="0" xfId="1" applyNumberFormat="1" applyFont="1" applyAlignment="1" applyProtection="1">
      <alignment vertical="center"/>
    </xf>
    <xf numFmtId="166" fontId="26" fillId="0" borderId="0" xfId="1" applyNumberFormat="1" applyFont="1" applyAlignment="1" applyProtection="1">
      <alignment vertical="center"/>
    </xf>
    <xf numFmtId="0" fontId="27" fillId="2" borderId="0" xfId="1" applyFont="1" applyFill="1" applyAlignment="1" applyProtection="1">
      <alignment horizontal="right" vertical="center" wrapText="1"/>
    </xf>
    <xf numFmtId="166" fontId="27" fillId="5" borderId="10" xfId="1" applyNumberFormat="1" applyFont="1" applyFill="1" applyBorder="1" applyAlignment="1" applyProtection="1">
      <alignment horizontal="center" vertical="center"/>
    </xf>
    <xf numFmtId="166" fontId="9" fillId="5" borderId="4" xfId="1" applyNumberFormat="1" applyFont="1" applyFill="1" applyBorder="1" applyAlignment="1" applyProtection="1">
      <alignment horizontal="center" vertical="center"/>
    </xf>
    <xf numFmtId="0" fontId="10" fillId="34" borderId="18" xfId="1" applyFont="1" applyFill="1" applyBorder="1" applyAlignment="1" applyProtection="1">
      <alignment horizontal="left" vertical="center"/>
    </xf>
    <xf numFmtId="164" fontId="10" fillId="33" borderId="19" xfId="1" applyNumberFormat="1" applyFont="1" applyFill="1" applyBorder="1" applyAlignment="1" applyProtection="1">
      <alignment horizontal="center" vertical="center" wrapText="1"/>
    </xf>
    <xf numFmtId="166" fontId="28" fillId="34" borderId="20" xfId="1" applyNumberFormat="1" applyFont="1" applyFill="1" applyBorder="1" applyAlignment="1" applyProtection="1">
      <alignment horizontal="center" vertical="center"/>
    </xf>
    <xf numFmtId="2" fontId="11" fillId="10" borderId="0" xfId="1" applyNumberFormat="1" applyFont="1" applyFill="1" applyAlignment="1" applyProtection="1">
      <alignment horizontal="center" vertical="center" wrapText="1"/>
    </xf>
    <xf numFmtId="166" fontId="24" fillId="10" borderId="0" xfId="1" applyNumberFormat="1" applyFont="1" applyFill="1" applyAlignment="1" applyProtection="1">
      <alignment horizontal="center" vertical="center"/>
    </xf>
    <xf numFmtId="164" fontId="10" fillId="2" borderId="0" xfId="1" applyNumberFormat="1" applyFont="1" applyFill="1" applyAlignment="1" applyProtection="1">
      <alignment horizontal="center" vertical="center"/>
    </xf>
    <xf numFmtId="166" fontId="10" fillId="2" borderId="0" xfId="1" applyNumberFormat="1" applyFont="1" applyFill="1" applyAlignment="1" applyProtection="1">
      <alignment vertical="center"/>
    </xf>
    <xf numFmtId="0" fontId="9" fillId="9" borderId="3" xfId="1" applyFont="1" applyFill="1" applyBorder="1" applyAlignment="1" applyProtection="1">
      <alignment horizontal="left" vertical="center" wrapText="1"/>
    </xf>
    <xf numFmtId="166" fontId="14" fillId="9" borderId="10" xfId="1" applyNumberFormat="1" applyFont="1" applyFill="1" applyBorder="1" applyAlignment="1" applyProtection="1">
      <alignment horizontal="center" vertical="center"/>
    </xf>
    <xf numFmtId="166" fontId="26" fillId="2" borderId="4" xfId="1" applyNumberFormat="1" applyFont="1" applyFill="1" applyBorder="1" applyAlignment="1" applyProtection="1">
      <alignment horizontal="center" vertical="center"/>
    </xf>
    <xf numFmtId="166" fontId="9" fillId="2" borderId="1" xfId="1" applyNumberFormat="1" applyFont="1" applyFill="1" applyBorder="1" applyAlignment="1" applyProtection="1">
      <alignment horizontal="center" vertical="center"/>
    </xf>
    <xf numFmtId="164" fontId="9" fillId="2" borderId="0" xfId="1" applyNumberFormat="1" applyFont="1" applyFill="1" applyAlignment="1" applyProtection="1">
      <alignment horizontal="center" vertical="center"/>
    </xf>
    <xf numFmtId="166" fontId="9" fillId="2" borderId="17" xfId="1" applyNumberFormat="1" applyFont="1" applyFill="1" applyBorder="1" applyAlignment="1" applyProtection="1">
      <alignment horizontal="center" vertical="center"/>
    </xf>
    <xf numFmtId="2" fontId="11" fillId="2" borderId="0" xfId="1" applyNumberFormat="1" applyFont="1" applyFill="1" applyAlignment="1" applyProtection="1">
      <alignment horizontal="center" vertical="center" wrapText="1"/>
    </xf>
    <xf numFmtId="166" fontId="24" fillId="2" borderId="0" xfId="1" applyNumberFormat="1" applyFont="1" applyFill="1" applyAlignment="1" applyProtection="1">
      <alignment vertical="center"/>
    </xf>
    <xf numFmtId="166" fontId="24" fillId="2" borderId="0" xfId="1" applyNumberFormat="1" applyFont="1" applyFill="1" applyAlignment="1" applyProtection="1">
      <alignment horizontal="center" vertical="center"/>
    </xf>
    <xf numFmtId="166" fontId="10" fillId="2" borderId="0" xfId="1" applyNumberFormat="1" applyFont="1" applyFill="1" applyAlignment="1" applyProtection="1">
      <alignment horizontal="center" vertical="center"/>
    </xf>
    <xf numFmtId="0" fontId="9" fillId="35" borderId="3" xfId="1" applyFont="1" applyFill="1" applyBorder="1" applyAlignment="1" applyProtection="1">
      <alignment horizontal="left" vertical="center" wrapText="1"/>
    </xf>
    <xf numFmtId="166" fontId="9" fillId="35" borderId="10" xfId="1" applyNumberFormat="1" applyFont="1" applyFill="1" applyBorder="1" applyAlignment="1" applyProtection="1">
      <alignment horizontal="center" vertical="center"/>
    </xf>
    <xf numFmtId="166" fontId="9" fillId="2" borderId="8" xfId="1" applyNumberFormat="1" applyFont="1" applyFill="1" applyBorder="1" applyAlignment="1" applyProtection="1">
      <alignment horizontal="center" vertical="center"/>
    </xf>
    <xf numFmtId="0" fontId="9" fillId="36" borderId="3" xfId="1" applyFont="1" applyFill="1" applyBorder="1" applyAlignment="1" applyProtection="1">
      <alignment horizontal="left" vertical="center" wrapText="1"/>
    </xf>
    <xf numFmtId="166" fontId="14" fillId="36" borderId="10" xfId="1" applyNumberFormat="1" applyFont="1" applyFill="1" applyBorder="1" applyAlignment="1" applyProtection="1">
      <alignment horizontal="center" vertical="center"/>
    </xf>
    <xf numFmtId="164" fontId="25" fillId="33" borderId="0" xfId="1" applyNumberFormat="1" applyFont="1" applyFill="1" applyAlignment="1" applyProtection="1">
      <alignment horizontal="center" vertical="center" wrapText="1"/>
    </xf>
    <xf numFmtId="0" fontId="14" fillId="37" borderId="3" xfId="1" applyFont="1" applyFill="1" applyBorder="1" applyAlignment="1" applyProtection="1">
      <alignment horizontal="left" vertical="center" wrapText="1"/>
    </xf>
    <xf numFmtId="166" fontId="14" fillId="37" borderId="10" xfId="1" applyNumberFormat="1" applyFont="1" applyFill="1" applyBorder="1" applyAlignment="1" applyProtection="1">
      <alignment horizontal="center" vertical="center"/>
    </xf>
    <xf numFmtId="0" fontId="9" fillId="31" borderId="3" xfId="1" applyFont="1" applyFill="1" applyBorder="1" applyAlignment="1" applyProtection="1">
      <alignment horizontal="left" vertical="center" wrapText="1"/>
    </xf>
    <xf numFmtId="166" fontId="27" fillId="31" borderId="10" xfId="1" applyNumberFormat="1" applyFont="1" applyFill="1" applyBorder="1" applyAlignment="1" applyProtection="1">
      <alignment horizontal="center" vertical="center"/>
    </xf>
    <xf numFmtId="0" fontId="9" fillId="38" borderId="3" xfId="1" applyFont="1" applyFill="1" applyBorder="1" applyAlignment="1" applyProtection="1">
      <alignment horizontal="left" vertical="center" wrapText="1"/>
    </xf>
    <xf numFmtId="166" fontId="26" fillId="38" borderId="10" xfId="1" applyNumberFormat="1" applyFont="1" applyFill="1" applyBorder="1" applyAlignment="1" applyProtection="1">
      <alignment horizontal="center" vertical="center"/>
    </xf>
    <xf numFmtId="0" fontId="9" fillId="39" borderId="3" xfId="1" applyFont="1" applyFill="1" applyBorder="1" applyAlignment="1" applyProtection="1">
      <alignment horizontal="left" vertical="center" wrapText="1"/>
    </xf>
    <xf numFmtId="166" fontId="14" fillId="39" borderId="10" xfId="1" applyNumberFormat="1" applyFont="1" applyFill="1" applyBorder="1" applyAlignment="1" applyProtection="1">
      <alignment horizontal="center" vertical="center"/>
    </xf>
    <xf numFmtId="166" fontId="9" fillId="40" borderId="4" xfId="1" applyNumberFormat="1" applyFont="1" applyFill="1" applyBorder="1" applyAlignment="1" applyProtection="1">
      <alignment horizontal="left" vertical="center" wrapText="1"/>
    </xf>
    <xf numFmtId="166" fontId="9" fillId="40" borderId="10" xfId="1" applyNumberFormat="1" applyFont="1" applyFill="1" applyBorder="1" applyAlignment="1" applyProtection="1">
      <alignment horizontal="center" vertical="center"/>
    </xf>
    <xf numFmtId="0" fontId="9" fillId="41" borderId="3" xfId="1" applyFont="1" applyFill="1" applyBorder="1" applyAlignment="1" applyProtection="1">
      <alignment horizontal="left" vertical="center" wrapText="1"/>
    </xf>
    <xf numFmtId="166" fontId="28" fillId="41" borderId="10" xfId="1" applyNumberFormat="1" applyFont="1" applyFill="1" applyBorder="1" applyAlignment="1" applyProtection="1">
      <alignment horizontal="center" vertical="center"/>
    </xf>
    <xf numFmtId="0" fontId="14" fillId="42" borderId="3" xfId="1" applyFont="1" applyFill="1" applyBorder="1" applyAlignment="1" applyProtection="1">
      <alignment horizontal="left" vertical="center" wrapText="1"/>
    </xf>
    <xf numFmtId="166" fontId="14" fillId="42" borderId="10" xfId="1" applyNumberFormat="1" applyFont="1" applyFill="1" applyBorder="1" applyAlignment="1" applyProtection="1">
      <alignment horizontal="center" vertical="center"/>
    </xf>
    <xf numFmtId="166" fontId="29" fillId="43" borderId="10" xfId="1" applyNumberFormat="1" applyFont="1" applyFill="1" applyBorder="1" applyAlignment="1" applyProtection="1">
      <alignment horizontal="center" vertical="center"/>
    </xf>
    <xf numFmtId="166" fontId="9" fillId="43" borderId="4" xfId="1" applyNumberFormat="1" applyFont="1" applyFill="1" applyBorder="1" applyAlignment="1" applyProtection="1">
      <alignment horizontal="center" vertical="center"/>
    </xf>
    <xf numFmtId="166" fontId="26" fillId="43" borderId="4" xfId="1" applyNumberFormat="1" applyFont="1" applyFill="1" applyBorder="1" applyAlignment="1" applyProtection="1">
      <alignment horizontal="center" vertical="center"/>
    </xf>
    <xf numFmtId="166" fontId="9" fillId="2" borderId="4" xfId="1" applyNumberFormat="1" applyFont="1" applyFill="1" applyBorder="1" applyAlignment="1" applyProtection="1">
      <alignment horizontal="center" vertical="center"/>
    </xf>
    <xf numFmtId="0" fontId="22" fillId="2" borderId="0" xfId="1" applyFont="1" applyFill="1" applyAlignment="1" applyProtection="1">
      <alignment horizontal="left" vertical="center" wrapText="1"/>
    </xf>
    <xf numFmtId="0" fontId="30" fillId="16" borderId="3" xfId="1" applyFont="1" applyFill="1" applyBorder="1" applyAlignment="1" applyProtection="1">
      <alignment horizontal="right" vertical="center" wrapText="1"/>
    </xf>
    <xf numFmtId="0" fontId="9" fillId="16" borderId="4" xfId="1" applyFont="1" applyFill="1" applyBorder="1" applyAlignment="1" applyProtection="1">
      <alignment horizontal="right" vertical="center" wrapText="1"/>
    </xf>
    <xf numFmtId="165" fontId="22" fillId="2" borderId="12" xfId="1" applyNumberFormat="1" applyFont="1" applyFill="1" applyBorder="1" applyAlignment="1" applyProtection="1">
      <alignment horizontal="center" vertical="center" wrapText="1"/>
    </xf>
    <xf numFmtId="165" fontId="22" fillId="2" borderId="0" xfId="1" applyNumberFormat="1" applyFont="1" applyFill="1" applyAlignment="1" applyProtection="1">
      <alignment horizontal="center" vertical="center" wrapText="1"/>
    </xf>
    <xf numFmtId="0" fontId="25" fillId="0" borderId="0" xfId="1" applyFont="1" applyAlignment="1" applyProtection="1">
      <alignment horizontal="center" vertical="center" wrapText="1"/>
    </xf>
    <xf numFmtId="2" fontId="28" fillId="16" borderId="8" xfId="1" applyNumberFormat="1" applyFont="1" applyFill="1" applyBorder="1" applyAlignment="1" applyProtection="1">
      <alignment horizontal="center" vertical="center"/>
    </xf>
    <xf numFmtId="165" fontId="33" fillId="2" borderId="0" xfId="1" applyNumberFormat="1" applyFont="1" applyFill="1" applyAlignment="1" applyProtection="1">
      <alignment horizontal="center" vertical="center" wrapText="1"/>
    </xf>
    <xf numFmtId="166" fontId="12" fillId="2" borderId="0" xfId="1" applyNumberFormat="1" applyFont="1" applyFill="1" applyAlignment="1" applyProtection="1">
      <alignment horizontal="center" vertical="center"/>
    </xf>
    <xf numFmtId="165" fontId="22" fillId="29" borderId="0" xfId="1" applyNumberFormat="1" applyFont="1" applyFill="1" applyAlignment="1" applyProtection="1">
      <alignment horizontal="center" vertical="center" wrapText="1"/>
    </xf>
    <xf numFmtId="165" fontId="13" fillId="29" borderId="0" xfId="1" applyNumberFormat="1" applyFont="1" applyFill="1" applyAlignment="1" applyProtection="1">
      <alignment horizontal="center" vertical="center" wrapText="1"/>
    </xf>
    <xf numFmtId="0" fontId="26" fillId="2" borderId="0" xfId="1" applyFont="1" applyFill="1" applyAlignment="1" applyProtection="1">
      <alignment horizontal="center" vertical="center"/>
    </xf>
    <xf numFmtId="0" fontId="28" fillId="2" borderId="0" xfId="1" applyFont="1" applyFill="1" applyAlignment="1" applyProtection="1">
      <alignment vertical="center"/>
    </xf>
    <xf numFmtId="0" fontId="24" fillId="2" borderId="0" xfId="1" applyFont="1" applyFill="1" applyAlignment="1" applyProtection="1">
      <alignment vertical="center"/>
    </xf>
    <xf numFmtId="0" fontId="25" fillId="2" borderId="0" xfId="1" applyFont="1" applyFill="1" applyAlignment="1" applyProtection="1">
      <alignment vertical="center"/>
    </xf>
    <xf numFmtId="166" fontId="28" fillId="2" borderId="0" xfId="1" applyNumberFormat="1" applyFont="1" applyFill="1" applyAlignment="1" applyProtection="1">
      <alignment horizontal="center" vertical="center"/>
    </xf>
    <xf numFmtId="2" fontId="11" fillId="2" borderId="0" xfId="1" applyNumberFormat="1" applyFont="1" applyFill="1" applyAlignment="1" applyProtection="1">
      <alignment vertical="center"/>
    </xf>
    <xf numFmtId="164" fontId="10" fillId="2" borderId="0" xfId="1" applyNumberFormat="1" applyFont="1" applyFill="1" applyAlignment="1" applyProtection="1">
      <alignment vertical="center"/>
    </xf>
    <xf numFmtId="0" fontId="9" fillId="2" borderId="3" xfId="1" applyFont="1" applyFill="1" applyBorder="1" applyAlignment="1" applyProtection="1">
      <alignment horizontal="left" vertical="center"/>
    </xf>
    <xf numFmtId="0" fontId="9" fillId="2" borderId="5" xfId="1" applyFont="1" applyFill="1" applyBorder="1" applyAlignment="1" applyProtection="1">
      <alignment horizontal="left" vertical="center"/>
    </xf>
    <xf numFmtId="0" fontId="9" fillId="2" borderId="0" xfId="1" applyFont="1" applyFill="1" applyAlignment="1" applyProtection="1">
      <alignment horizontal="left" vertical="center"/>
    </xf>
    <xf numFmtId="0" fontId="26" fillId="2" borderId="21" xfId="1" applyFont="1" applyFill="1" applyBorder="1" applyAlignment="1" applyProtection="1">
      <alignment horizontal="right" vertical="center"/>
    </xf>
    <xf numFmtId="164" fontId="33" fillId="2" borderId="17" xfId="1" applyNumberFormat="1" applyFont="1" applyFill="1" applyBorder="1" applyAlignment="1" applyProtection="1">
      <alignment horizontal="right" vertical="center"/>
    </xf>
    <xf numFmtId="0" fontId="11" fillId="2" borderId="0" xfId="1" applyFont="1" applyFill="1" applyAlignment="1" applyProtection="1">
      <alignment horizontal="right" vertical="center"/>
    </xf>
    <xf numFmtId="0" fontId="9" fillId="44" borderId="10" xfId="1" applyFont="1" applyFill="1" applyBorder="1" applyAlignment="1" applyProtection="1">
      <alignment horizontal="right" vertical="center" wrapText="1"/>
    </xf>
    <xf numFmtId="0" fontId="9" fillId="44" borderId="10" xfId="1" applyFont="1" applyFill="1" applyBorder="1" applyAlignment="1" applyProtection="1">
      <alignment vertical="center"/>
    </xf>
    <xf numFmtId="166" fontId="9" fillId="44" borderId="10" xfId="1" applyNumberFormat="1" applyFont="1" applyFill="1" applyBorder="1" applyAlignment="1" applyProtection="1">
      <alignment horizontal="left" vertical="center"/>
    </xf>
    <xf numFmtId="14" fontId="9" fillId="16" borderId="0" xfId="1" applyNumberFormat="1" applyFont="1" applyFill="1" applyAlignment="1" applyProtection="1">
      <alignment horizontal="right" vertical="center"/>
    </xf>
    <xf numFmtId="166" fontId="9" fillId="16" borderId="0" xfId="1" applyNumberFormat="1" applyFont="1" applyFill="1" applyAlignment="1" applyProtection="1">
      <alignment horizontal="left" vertical="center"/>
    </xf>
    <xf numFmtId="166" fontId="35" fillId="16" borderId="1" xfId="1" applyNumberFormat="1" applyFont="1" applyFill="1" applyBorder="1" applyAlignment="1" applyProtection="1">
      <alignment horizontal="left" vertical="center"/>
    </xf>
    <xf numFmtId="0" fontId="9" fillId="0" borderId="1" xfId="1" applyFont="1" applyBorder="1" applyAlignment="1" applyProtection="1">
      <alignment horizontal="left" vertical="center"/>
    </xf>
    <xf numFmtId="166" fontId="35" fillId="16" borderId="0" xfId="1" applyNumberFormat="1" applyFont="1" applyFill="1" applyAlignment="1" applyProtection="1">
      <alignment horizontal="left" vertical="center"/>
    </xf>
    <xf numFmtId="166" fontId="25" fillId="2" borderId="0" xfId="1" applyNumberFormat="1" applyFont="1" applyFill="1" applyAlignment="1" applyProtection="1">
      <alignment vertical="center"/>
    </xf>
    <xf numFmtId="0" fontId="24" fillId="35" borderId="6" xfId="1" applyFont="1" applyFill="1" applyBorder="1" applyAlignment="1" applyProtection="1">
      <alignment vertical="center"/>
    </xf>
    <xf numFmtId="0" fontId="24" fillId="35" borderId="7" xfId="1" applyFont="1" applyFill="1" applyBorder="1" applyAlignment="1" applyProtection="1">
      <alignment vertical="center"/>
    </xf>
    <xf numFmtId="0" fontId="10" fillId="35" borderId="7" xfId="1" applyFont="1" applyFill="1" applyBorder="1" applyAlignment="1" applyProtection="1">
      <alignment vertical="center"/>
    </xf>
    <xf numFmtId="0" fontId="10" fillId="0" borderId="8" xfId="1" applyFont="1" applyBorder="1" applyAlignment="1" applyProtection="1">
      <alignment vertical="center"/>
    </xf>
    <xf numFmtId="0" fontId="9" fillId="0" borderId="0" xfId="1" applyFont="1" applyAlignment="1" applyProtection="1">
      <alignment vertical="center"/>
    </xf>
    <xf numFmtId="0" fontId="23" fillId="9" borderId="3" xfId="1" applyFont="1" applyFill="1" applyBorder="1" applyAlignment="1" applyProtection="1">
      <alignment horizontal="right" vertical="center" wrapText="1"/>
    </xf>
    <xf numFmtId="0" fontId="23" fillId="0" borderId="4" xfId="1" applyFont="1" applyBorder="1" applyAlignment="1" applyProtection="1">
      <alignment vertical="center"/>
    </xf>
    <xf numFmtId="0" fontId="23" fillId="0" borderId="5" xfId="1" applyFont="1" applyBorder="1" applyAlignment="1" applyProtection="1">
      <alignment vertical="center"/>
    </xf>
    <xf numFmtId="0" fontId="9" fillId="9" borderId="5" xfId="1" applyFont="1" applyFill="1" applyBorder="1" applyAlignment="1" applyProtection="1">
      <alignment vertical="center"/>
    </xf>
    <xf numFmtId="166" fontId="23" fillId="9" borderId="3" xfId="1" applyNumberFormat="1" applyFont="1" applyFill="1" applyBorder="1" applyAlignment="1" applyProtection="1">
      <alignment horizontal="left" vertical="center"/>
    </xf>
    <xf numFmtId="0" fontId="23" fillId="9" borderId="5" xfId="1" applyFont="1" applyFill="1" applyBorder="1" applyAlignment="1" applyProtection="1">
      <alignment horizontal="left" vertical="center"/>
    </xf>
    <xf numFmtId="166" fontId="9" fillId="0" borderId="5" xfId="1" applyNumberFormat="1" applyFont="1" applyBorder="1" applyAlignment="1" applyProtection="1">
      <alignment vertical="center"/>
    </xf>
    <xf numFmtId="166" fontId="9" fillId="9" borderId="10" xfId="1" applyNumberFormat="1" applyFont="1" applyFill="1" applyBorder="1" applyAlignment="1" applyProtection="1">
      <alignment vertical="center"/>
    </xf>
    <xf numFmtId="166" fontId="26" fillId="9" borderId="0" xfId="1" applyNumberFormat="1" applyFont="1" applyFill="1" applyAlignment="1" applyProtection="1">
      <alignment vertical="center"/>
    </xf>
    <xf numFmtId="166" fontId="28" fillId="35" borderId="21" xfId="1" applyNumberFormat="1" applyFont="1" applyFill="1" applyBorder="1" applyAlignment="1" applyProtection="1">
      <alignment horizontal="right" vertical="center"/>
    </xf>
    <xf numFmtId="166" fontId="33" fillId="35" borderId="1" xfId="1" applyNumberFormat="1" applyFont="1" applyFill="1" applyBorder="1" applyAlignment="1" applyProtection="1">
      <alignment vertical="center"/>
    </xf>
    <xf numFmtId="0" fontId="24" fillId="35" borderId="1" xfId="1" applyFont="1" applyFill="1" applyBorder="1" applyAlignment="1" applyProtection="1">
      <alignment horizontal="left" vertical="center"/>
    </xf>
    <xf numFmtId="0" fontId="10" fillId="35" borderId="12" xfId="1" applyFont="1" applyFill="1" applyBorder="1" applyAlignment="1" applyProtection="1">
      <alignment horizontal="left" vertical="center"/>
    </xf>
    <xf numFmtId="166" fontId="37" fillId="2" borderId="0" xfId="1" applyNumberFormat="1" applyFont="1" applyFill="1" applyAlignment="1" applyProtection="1">
      <alignment vertical="center"/>
    </xf>
    <xf numFmtId="0" fontId="10" fillId="0" borderId="0" xfId="1" applyFont="1" applyAlignment="1" applyProtection="1">
      <alignment horizontal="center" vertical="center" wrapText="1"/>
    </xf>
    <xf numFmtId="0" fontId="11" fillId="0" borderId="0" xfId="1" applyFont="1" applyAlignment="1" applyProtection="1">
      <alignment vertical="center"/>
    </xf>
    <xf numFmtId="0" fontId="10" fillId="8" borderId="10" xfId="1" applyFont="1" applyFill="1" applyBorder="1" applyAlignment="1" applyProtection="1">
      <alignment vertical="center" wrapText="1"/>
    </xf>
    <xf numFmtId="0" fontId="12" fillId="0" borderId="3" xfId="1" applyFont="1" applyBorder="1" applyAlignment="1" applyProtection="1">
      <alignment vertical="center"/>
    </xf>
    <xf numFmtId="0" fontId="12" fillId="0" borderId="4" xfId="1" applyFont="1" applyBorder="1" applyAlignment="1" applyProtection="1">
      <alignment vertical="center"/>
    </xf>
    <xf numFmtId="0" fontId="12" fillId="0" borderId="5" xfId="1" applyFont="1" applyBorder="1" applyAlignment="1" applyProtection="1">
      <alignment vertical="center"/>
    </xf>
    <xf numFmtId="164" fontId="12" fillId="8" borderId="3" xfId="3" applyNumberFormat="1" applyFont="1" applyFill="1" applyBorder="1" applyAlignment="1" applyProtection="1">
      <alignment vertical="center" wrapText="1"/>
    </xf>
    <xf numFmtId="0" fontId="9" fillId="0" borderId="0" xfId="1" applyFont="1" applyAlignment="1" applyProtection="1">
      <alignment horizontal="center" vertical="center"/>
    </xf>
    <xf numFmtId="0" fontId="21" fillId="0" borderId="0" xfId="1" applyFont="1" applyAlignment="1" applyProtection="1">
      <alignment horizontal="center" vertical="center"/>
    </xf>
    <xf numFmtId="0" fontId="43" fillId="0" borderId="0" xfId="1" applyFont="1" applyAlignment="1" applyProtection="1">
      <alignment vertical="center"/>
    </xf>
    <xf numFmtId="0" fontId="10" fillId="0" borderId="0" xfId="1" applyFont="1" applyAlignment="1" applyProtection="1">
      <alignment vertical="center" wrapText="1"/>
    </xf>
    <xf numFmtId="0" fontId="10" fillId="0" borderId="0" xfId="1" applyFont="1" applyAlignment="1" applyProtection="1">
      <alignment horizontal="left" vertical="center"/>
    </xf>
    <xf numFmtId="0" fontId="39" fillId="0" borderId="0" xfId="1" applyFont="1" applyAlignment="1" applyProtection="1">
      <alignment horizontal="center" vertical="center"/>
    </xf>
    <xf numFmtId="0" fontId="39" fillId="0" borderId="0" xfId="1" applyFont="1" applyAlignment="1" applyProtection="1">
      <alignment vertical="center"/>
    </xf>
    <xf numFmtId="0" fontId="40" fillId="0" borderId="0" xfId="1" applyFont="1" applyAlignment="1" applyProtection="1">
      <alignment vertical="center"/>
    </xf>
    <xf numFmtId="164" fontId="24" fillId="0" borderId="0" xfId="1" applyNumberFormat="1" applyFont="1" applyAlignment="1" applyProtection="1">
      <alignment vertical="center"/>
    </xf>
    <xf numFmtId="0" fontId="12" fillId="0" borderId="1" xfId="1" applyFont="1" applyBorder="1" applyAlignment="1" applyProtection="1">
      <alignment vertical="center"/>
    </xf>
    <xf numFmtId="0" fontId="10" fillId="0" borderId="1" xfId="1" applyFont="1" applyBorder="1" applyAlignment="1" applyProtection="1">
      <alignment vertical="center"/>
    </xf>
    <xf numFmtId="0" fontId="14" fillId="0" borderId="2" xfId="2" applyFont="1" applyFill="1" applyBorder="1" applyAlignment="1" applyProtection="1">
      <alignment horizontal="center" vertical="center" wrapText="1"/>
    </xf>
    <xf numFmtId="0" fontId="14" fillId="0" borderId="2" xfId="1" applyFont="1" applyFill="1" applyBorder="1" applyAlignment="1" applyProtection="1">
      <alignment horizontal="center" vertical="center" wrapText="1"/>
    </xf>
    <xf numFmtId="0" fontId="14" fillId="0" borderId="6" xfId="1" applyFont="1" applyFill="1" applyBorder="1" applyAlignment="1" applyProtection="1">
      <alignment horizontal="center" vertical="center" wrapText="1"/>
    </xf>
    <xf numFmtId="0" fontId="12" fillId="0" borderId="7"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9" fillId="0" borderId="2" xfId="1" applyFont="1" applyFill="1" applyBorder="1" applyAlignment="1" applyProtection="1">
      <alignment horizontal="center" vertical="center" wrapText="1"/>
    </xf>
    <xf numFmtId="164" fontId="14" fillId="0" borderId="2" xfId="3" applyNumberFormat="1" applyFont="1" applyFill="1" applyBorder="1" applyAlignment="1" applyProtection="1">
      <alignment horizontal="center" vertical="center" wrapText="1"/>
    </xf>
    <xf numFmtId="164" fontId="14" fillId="0" borderId="6" xfId="3" applyNumberFormat="1" applyFont="1" applyFill="1" applyBorder="1" applyAlignment="1" applyProtection="1">
      <alignment horizontal="center" vertical="center" wrapText="1"/>
    </xf>
    <xf numFmtId="0" fontId="10" fillId="0" borderId="9" xfId="1" applyFont="1" applyFill="1" applyBorder="1" applyAlignment="1" applyProtection="1">
      <alignment horizontal="center" vertical="center" wrapText="1"/>
    </xf>
    <xf numFmtId="0" fontId="10" fillId="0" borderId="3" xfId="1" applyFont="1" applyFill="1" applyBorder="1" applyAlignment="1" applyProtection="1">
      <alignment horizontal="center" vertical="center" wrapText="1"/>
    </xf>
    <xf numFmtId="0" fontId="40" fillId="0" borderId="4" xfId="1" applyFont="1" applyFill="1" applyBorder="1" applyAlignment="1" applyProtection="1">
      <alignment horizontal="center" vertical="center" wrapText="1"/>
    </xf>
    <xf numFmtId="0" fontId="10" fillId="0" borderId="4" xfId="1" applyFont="1" applyFill="1" applyBorder="1" applyAlignment="1" applyProtection="1">
      <alignment horizontal="center" vertical="center" wrapText="1"/>
    </xf>
    <xf numFmtId="0" fontId="9" fillId="0" borderId="4" xfId="1" applyFont="1" applyFill="1" applyBorder="1" applyAlignment="1" applyProtection="1">
      <alignment horizontal="center" vertical="center" wrapText="1"/>
    </xf>
    <xf numFmtId="0" fontId="10" fillId="0" borderId="7" xfId="1" applyFont="1" applyFill="1" applyBorder="1" applyAlignment="1" applyProtection="1">
      <alignment horizontal="center" vertical="center" wrapText="1"/>
    </xf>
    <xf numFmtId="0" fontId="9" fillId="0" borderId="8" xfId="1" applyFont="1" applyFill="1" applyBorder="1" applyAlignment="1" applyProtection="1">
      <alignment horizontal="center" vertical="center" wrapText="1"/>
    </xf>
    <xf numFmtId="0" fontId="10" fillId="0" borderId="7" xfId="1" applyFont="1" applyFill="1" applyBorder="1" applyAlignment="1" applyProtection="1">
      <alignment horizontal="center" vertical="center"/>
    </xf>
    <xf numFmtId="0" fontId="9" fillId="0" borderId="10" xfId="1" applyFont="1" applyFill="1" applyBorder="1" applyAlignment="1" applyProtection="1">
      <alignment horizontal="center" vertical="center" wrapText="1"/>
    </xf>
    <xf numFmtId="0" fontId="10" fillId="0" borderId="10" xfId="1" applyFont="1" applyFill="1" applyBorder="1" applyAlignment="1" applyProtection="1">
      <alignment horizontal="center" vertical="center" wrapText="1"/>
    </xf>
    <xf numFmtId="0" fontId="14" fillId="0" borderId="10" xfId="1" applyFont="1" applyFill="1" applyBorder="1" applyAlignment="1" applyProtection="1">
      <alignment horizontal="center" vertical="center" wrapText="1"/>
    </xf>
    <xf numFmtId="0" fontId="14" fillId="0" borderId="11" xfId="2" applyFont="1" applyFill="1" applyBorder="1" applyAlignment="1" applyProtection="1">
      <alignment horizontal="center" vertical="center" wrapText="1"/>
    </xf>
    <xf numFmtId="0" fontId="14" fillId="0" borderId="11" xfId="1" applyFont="1" applyFill="1" applyBorder="1" applyAlignment="1" applyProtection="1">
      <alignment horizontal="center" vertical="center" wrapText="1"/>
    </xf>
    <xf numFmtId="0" fontId="12" fillId="0" borderId="10" xfId="1" applyFont="1" applyFill="1" applyBorder="1" applyAlignment="1" applyProtection="1">
      <alignment horizontal="center" vertical="center" wrapText="1"/>
    </xf>
    <xf numFmtId="0" fontId="12" fillId="0" borderId="9" xfId="1" applyFont="1" applyFill="1" applyBorder="1" applyAlignment="1" applyProtection="1">
      <alignment horizontal="center" vertical="center" wrapText="1"/>
    </xf>
    <xf numFmtId="0" fontId="9" fillId="0" borderId="11" xfId="1" applyFont="1" applyFill="1" applyBorder="1" applyAlignment="1" applyProtection="1">
      <alignment horizontal="center" vertical="center" wrapText="1"/>
    </xf>
    <xf numFmtId="164" fontId="14" fillId="0" borderId="11" xfId="3" applyNumberFormat="1" applyFont="1" applyFill="1" applyBorder="1" applyAlignment="1" applyProtection="1">
      <alignment horizontal="center" vertical="center" wrapText="1"/>
    </xf>
    <xf numFmtId="164" fontId="14" fillId="0" borderId="9" xfId="3" applyNumberFormat="1" applyFont="1" applyFill="1" applyBorder="1" applyAlignment="1" applyProtection="1">
      <alignment horizontal="center" vertical="center" wrapText="1"/>
    </xf>
    <xf numFmtId="0" fontId="9" fillId="0" borderId="9" xfId="1" applyFont="1" applyFill="1" applyBorder="1" applyAlignment="1" applyProtection="1">
      <alignment horizontal="center" vertical="center" wrapText="1"/>
    </xf>
    <xf numFmtId="0" fontId="41" fillId="0" borderId="9" xfId="1" applyFont="1" applyFill="1" applyBorder="1" applyAlignment="1" applyProtection="1">
      <alignment horizontal="center" vertical="center" wrapText="1"/>
    </xf>
    <xf numFmtId="164" fontId="14" fillId="0" borderId="11" xfId="3" applyNumberFormat="1" applyFont="1" applyFill="1" applyBorder="1" applyAlignment="1" applyProtection="1">
      <alignment horizontal="center" vertical="center" wrapText="1"/>
    </xf>
    <xf numFmtId="164" fontId="26" fillId="0" borderId="11" xfId="3" applyNumberFormat="1" applyFont="1" applyFill="1" applyBorder="1" applyAlignment="1" applyProtection="1">
      <alignment horizontal="center" vertical="center" wrapText="1"/>
    </xf>
    <xf numFmtId="164" fontId="14" fillId="0" borderId="2" xfId="3" applyNumberFormat="1" applyFont="1" applyFill="1" applyBorder="1" applyAlignment="1" applyProtection="1">
      <alignment horizontal="center" vertical="center" wrapText="1"/>
    </xf>
    <xf numFmtId="0" fontId="9" fillId="0" borderId="12" xfId="1" applyFont="1" applyFill="1" applyBorder="1" applyAlignment="1" applyProtection="1">
      <alignment horizontal="center" vertical="center" wrapText="1"/>
    </xf>
    <xf numFmtId="0" fontId="9" fillId="0" borderId="2" xfId="1" applyFont="1" applyFill="1" applyBorder="1" applyAlignment="1" applyProtection="1">
      <alignment horizontal="center" vertical="center" wrapText="1"/>
    </xf>
    <xf numFmtId="0" fontId="12" fillId="0" borderId="10" xfId="2" applyFont="1" applyFill="1" applyBorder="1" applyAlignment="1" applyProtection="1">
      <alignment horizontal="center" vertical="center" wrapText="1"/>
    </xf>
    <xf numFmtId="0" fontId="13" fillId="0" borderId="10" xfId="2" applyFont="1" applyFill="1" applyBorder="1" applyAlignment="1" applyProtection="1">
      <alignment horizontal="center" vertical="center" wrapText="1"/>
    </xf>
    <xf numFmtId="0" fontId="10" fillId="0" borderId="11" xfId="1" applyFont="1" applyFill="1" applyBorder="1" applyAlignment="1" applyProtection="1">
      <alignment horizontal="center" vertical="center" wrapText="1"/>
    </xf>
    <xf numFmtId="0" fontId="22" fillId="0" borderId="10" xfId="2" applyFont="1" applyFill="1" applyBorder="1" applyAlignment="1" applyProtection="1">
      <alignment horizontal="center" vertical="center" wrapText="1"/>
    </xf>
    <xf numFmtId="0" fontId="40" fillId="0" borderId="10" xfId="2" applyFont="1" applyFill="1" applyBorder="1" applyAlignment="1" applyProtection="1">
      <alignment horizontal="center" vertical="center" wrapText="1"/>
    </xf>
    <xf numFmtId="0" fontId="24" fillId="0" borderId="10" xfId="2" applyFont="1" applyFill="1" applyBorder="1" applyAlignment="1" applyProtection="1">
      <alignment horizontal="center" vertical="center" wrapText="1"/>
    </xf>
    <xf numFmtId="0" fontId="13" fillId="0" borderId="10" xfId="2" applyFont="1" applyFill="1" applyBorder="1" applyAlignment="1" applyProtection="1">
      <alignment horizontal="left" vertical="center" wrapText="1"/>
    </xf>
    <xf numFmtId="0" fontId="12" fillId="0" borderId="0" xfId="1" applyFont="1" applyFill="1" applyAlignment="1" applyProtection="1">
      <alignment horizontal="center" vertical="center"/>
    </xf>
    <xf numFmtId="0" fontId="14" fillId="13" borderId="10" xfId="1" applyFont="1" applyFill="1" applyBorder="1" applyAlignment="1" applyProtection="1">
      <alignment horizontal="left" vertical="center" wrapText="1" readingOrder="1"/>
    </xf>
    <xf numFmtId="164" fontId="14" fillId="14" borderId="10" xfId="2" applyNumberFormat="1" applyFont="1" applyFill="1" applyBorder="1" applyAlignment="1" applyProtection="1">
      <alignment horizontal="center" vertical="center" wrapText="1"/>
    </xf>
    <xf numFmtId="164" fontId="42" fillId="14" borderId="10" xfId="2" applyNumberFormat="1" applyFont="1" applyFill="1" applyBorder="1" applyAlignment="1" applyProtection="1">
      <alignment horizontal="center" vertical="center" wrapText="1"/>
    </xf>
    <xf numFmtId="0" fontId="14" fillId="2" borderId="0" xfId="1" applyFont="1" applyFill="1" applyAlignment="1" applyProtection="1">
      <alignment horizontal="left" vertical="center"/>
    </xf>
    <xf numFmtId="0" fontId="14" fillId="2" borderId="0" xfId="1" applyFont="1" applyFill="1" applyAlignment="1" applyProtection="1">
      <alignment horizontal="center" vertical="center"/>
    </xf>
    <xf numFmtId="0" fontId="22" fillId="15" borderId="10" xfId="1" applyFont="1" applyFill="1" applyBorder="1" applyAlignment="1" applyProtection="1">
      <alignment vertical="top" readingOrder="1"/>
    </xf>
    <xf numFmtId="0" fontId="22" fillId="15" borderId="10" xfId="1" applyFont="1" applyFill="1" applyBorder="1" applyAlignment="1" applyProtection="1">
      <alignment vertical="top" wrapText="1" readingOrder="1"/>
    </xf>
    <xf numFmtId="164" fontId="14" fillId="16" borderId="10" xfId="2" applyNumberFormat="1" applyFont="1" applyFill="1" applyBorder="1" applyAlignment="1" applyProtection="1">
      <alignment horizontal="center" vertical="center" wrapText="1"/>
    </xf>
    <xf numFmtId="164" fontId="42" fillId="16" borderId="10" xfId="2" applyNumberFormat="1" applyFont="1" applyFill="1" applyBorder="1" applyAlignment="1" applyProtection="1">
      <alignment horizontal="center" vertical="center" wrapText="1"/>
    </xf>
    <xf numFmtId="0" fontId="22" fillId="17" borderId="10" xfId="1" applyFont="1" applyFill="1" applyBorder="1" applyAlignment="1" applyProtection="1">
      <alignment vertical="top" readingOrder="1"/>
    </xf>
    <xf numFmtId="0" fontId="22" fillId="17" borderId="10" xfId="1" applyFont="1" applyFill="1" applyBorder="1" applyAlignment="1" applyProtection="1">
      <alignment vertical="top" wrapText="1" readingOrder="1"/>
    </xf>
    <xf numFmtId="164" fontId="14" fillId="8" borderId="10" xfId="2" applyNumberFormat="1" applyFont="1" applyFill="1" applyBorder="1" applyAlignment="1" applyProtection="1">
      <alignment horizontal="center" vertical="center" wrapText="1"/>
    </xf>
    <xf numFmtId="164" fontId="42" fillId="8" borderId="10" xfId="2" applyNumberFormat="1" applyFont="1" applyFill="1" applyBorder="1" applyAlignment="1" applyProtection="1">
      <alignment horizontal="center" vertical="center" wrapText="1"/>
    </xf>
    <xf numFmtId="0" fontId="13" fillId="2" borderId="10" xfId="1" applyFont="1" applyFill="1" applyBorder="1" applyAlignment="1" applyProtection="1">
      <alignment vertical="top" readingOrder="1"/>
    </xf>
    <xf numFmtId="0" fontId="13" fillId="2" borderId="10" xfId="1" applyFont="1" applyFill="1" applyBorder="1" applyAlignment="1" applyProtection="1">
      <alignment vertical="top" wrapText="1" readingOrder="1"/>
    </xf>
    <xf numFmtId="164" fontId="14" fillId="2" borderId="10" xfId="2" applyNumberFormat="1" applyFont="1" applyFill="1" applyBorder="1" applyAlignment="1" applyProtection="1">
      <alignment horizontal="center" vertical="center" wrapText="1"/>
    </xf>
    <xf numFmtId="164" fontId="22" fillId="2" borderId="10" xfId="2" applyNumberFormat="1" applyFont="1" applyFill="1" applyBorder="1" applyAlignment="1" applyProtection="1">
      <alignment horizontal="center" vertical="center" wrapText="1"/>
    </xf>
    <xf numFmtId="164" fontId="22" fillId="2" borderId="10" xfId="2" applyNumberFormat="1" applyFont="1" applyFill="1" applyBorder="1" applyAlignment="1" applyProtection="1">
      <alignment horizontal="left" vertical="center" wrapText="1"/>
    </xf>
    <xf numFmtId="164" fontId="13" fillId="2" borderId="3" xfId="2" applyNumberFormat="1" applyFont="1" applyFill="1" applyBorder="1" applyAlignment="1" applyProtection="1">
      <alignment horizontal="center" vertical="center" wrapText="1"/>
    </xf>
    <xf numFmtId="164" fontId="22" fillId="18" borderId="13" xfId="2" applyNumberFormat="1" applyFont="1" applyFill="1" applyBorder="1" applyAlignment="1" applyProtection="1">
      <alignment horizontal="center" vertical="center" wrapText="1"/>
    </xf>
    <xf numFmtId="164" fontId="42" fillId="18" borderId="5" xfId="2" applyNumberFormat="1" applyFont="1" applyFill="1" applyBorder="1" applyAlignment="1" applyProtection="1">
      <alignment horizontal="center" vertical="center" wrapText="1"/>
    </xf>
    <xf numFmtId="164" fontId="22" fillId="18" borderId="10" xfId="2" applyNumberFormat="1" applyFont="1" applyFill="1" applyBorder="1" applyAlignment="1" applyProtection="1">
      <alignment horizontal="center" vertical="center" wrapText="1"/>
    </xf>
    <xf numFmtId="164" fontId="22" fillId="19" borderId="10" xfId="2" applyNumberFormat="1" applyFont="1" applyFill="1" applyBorder="1" applyAlignment="1" applyProtection="1">
      <alignment horizontal="center" vertical="center" wrapText="1"/>
    </xf>
    <xf numFmtId="164" fontId="22" fillId="5" borderId="10" xfId="2" applyNumberFormat="1" applyFont="1" applyFill="1" applyBorder="1" applyAlignment="1" applyProtection="1">
      <alignment horizontal="center" vertical="center" wrapText="1"/>
    </xf>
    <xf numFmtId="164" fontId="22" fillId="20" borderId="10" xfId="2" applyNumberFormat="1" applyFont="1" applyFill="1" applyBorder="1" applyAlignment="1" applyProtection="1">
      <alignment horizontal="center" vertical="center" wrapText="1"/>
    </xf>
    <xf numFmtId="164" fontId="13" fillId="20" borderId="10" xfId="2" applyNumberFormat="1" applyFont="1" applyFill="1" applyBorder="1" applyAlignment="1" applyProtection="1">
      <alignment horizontal="left" vertical="top" wrapText="1"/>
    </xf>
    <xf numFmtId="164" fontId="14" fillId="21" borderId="10" xfId="2" applyNumberFormat="1" applyFont="1" applyFill="1" applyBorder="1" applyAlignment="1" applyProtection="1">
      <alignment horizontal="center" vertical="center" wrapText="1"/>
    </xf>
    <xf numFmtId="164" fontId="22" fillId="22" borderId="10" xfId="2" applyNumberFormat="1" applyFont="1" applyFill="1" applyBorder="1" applyAlignment="1" applyProtection="1">
      <alignment horizontal="center" vertical="center" wrapText="1"/>
    </xf>
    <xf numFmtId="164" fontId="13" fillId="2" borderId="3" xfId="2" applyNumberFormat="1" applyFont="1" applyFill="1" applyBorder="1" applyAlignment="1" applyProtection="1">
      <alignment horizontal="left" vertical="top" wrapText="1" readingOrder="1"/>
    </xf>
    <xf numFmtId="164" fontId="22" fillId="0" borderId="10" xfId="2" applyNumberFormat="1" applyFont="1" applyFill="1" applyBorder="1" applyAlignment="1" applyProtection="1">
      <alignment horizontal="center" vertical="center" wrapText="1"/>
    </xf>
    <xf numFmtId="164" fontId="13" fillId="20" borderId="10" xfId="2" applyNumberFormat="1" applyFont="1" applyFill="1" applyBorder="1" applyAlignment="1" applyProtection="1">
      <alignment horizontal="left" vertical="top" wrapText="1" readingOrder="1"/>
    </xf>
    <xf numFmtId="0" fontId="13" fillId="17" borderId="10" xfId="1" applyFont="1" applyFill="1" applyBorder="1" applyAlignment="1" applyProtection="1">
      <alignment vertical="top" readingOrder="1"/>
    </xf>
    <xf numFmtId="0" fontId="13" fillId="17" borderId="10" xfId="1" applyFont="1" applyFill="1" applyBorder="1" applyAlignment="1" applyProtection="1">
      <alignment vertical="top" wrapText="1" readingOrder="1"/>
    </xf>
    <xf numFmtId="164" fontId="12" fillId="8" borderId="3" xfId="2" applyNumberFormat="1" applyFont="1" applyFill="1" applyBorder="1" applyAlignment="1" applyProtection="1">
      <alignment horizontal="center" vertical="center" wrapText="1"/>
    </xf>
    <xf numFmtId="164" fontId="14" fillId="18" borderId="10" xfId="2" applyNumberFormat="1" applyFont="1" applyFill="1" applyBorder="1" applyAlignment="1" applyProtection="1">
      <alignment horizontal="center" vertical="center" wrapText="1"/>
    </xf>
    <xf numFmtId="164" fontId="14" fillId="20" borderId="10" xfId="2" applyNumberFormat="1" applyFont="1" applyFill="1" applyBorder="1" applyAlignment="1" applyProtection="1">
      <alignment horizontal="center" vertical="center" wrapText="1"/>
    </xf>
    <xf numFmtId="164" fontId="12" fillId="20" borderId="10" xfId="2" applyNumberFormat="1" applyFont="1" applyFill="1" applyBorder="1" applyAlignment="1" applyProtection="1">
      <alignment horizontal="left" vertical="top" wrapText="1"/>
    </xf>
    <xf numFmtId="164" fontId="14" fillId="22" borderId="10" xfId="2" applyNumberFormat="1" applyFont="1" applyFill="1" applyBorder="1" applyAlignment="1" applyProtection="1">
      <alignment horizontal="center" vertical="center" wrapText="1"/>
    </xf>
    <xf numFmtId="0" fontId="13" fillId="0" borderId="10" xfId="1" applyFont="1" applyBorder="1" applyAlignment="1" applyProtection="1">
      <alignment horizontal="center" vertical="center" wrapText="1"/>
    </xf>
    <xf numFmtId="164" fontId="22" fillId="18" borderId="14" xfId="2" applyNumberFormat="1" applyFont="1" applyFill="1" applyBorder="1" applyAlignment="1" applyProtection="1">
      <alignment horizontal="center" vertical="center" wrapText="1"/>
    </xf>
    <xf numFmtId="0" fontId="13" fillId="20" borderId="0" xfId="1" applyFont="1" applyFill="1" applyAlignment="1" applyProtection="1">
      <alignment wrapText="1"/>
    </xf>
    <xf numFmtId="164" fontId="22" fillId="22" borderId="10" xfId="2" applyNumberFormat="1" applyFont="1" applyFill="1" applyBorder="1" applyAlignment="1" applyProtection="1">
      <alignment horizontal="center" vertical="top" wrapText="1"/>
    </xf>
    <xf numFmtId="0" fontId="13" fillId="0" borderId="3" xfId="1" applyFont="1" applyBorder="1" applyAlignment="1" applyProtection="1">
      <alignment horizontal="center" vertical="center" wrapText="1"/>
    </xf>
    <xf numFmtId="164" fontId="22" fillId="18" borderId="10" xfId="2" applyNumberFormat="1" applyFont="1" applyFill="1" applyBorder="1" applyAlignment="1" applyProtection="1">
      <alignment horizontal="center" vertical="top" wrapText="1"/>
    </xf>
    <xf numFmtId="164" fontId="22" fillId="2" borderId="10" xfId="2" applyNumberFormat="1" applyFont="1" applyFill="1" applyBorder="1" applyAlignment="1" applyProtection="1">
      <alignment horizontal="center" vertical="top" wrapText="1"/>
    </xf>
    <xf numFmtId="164" fontId="22" fillId="20" borderId="10" xfId="2" applyNumberFormat="1" applyFont="1" applyFill="1" applyBorder="1" applyAlignment="1" applyProtection="1">
      <alignment horizontal="center" vertical="top" wrapText="1"/>
    </xf>
    <xf numFmtId="164" fontId="13" fillId="0" borderId="3" xfId="2" applyNumberFormat="1" applyFont="1" applyBorder="1" applyAlignment="1" applyProtection="1">
      <alignment horizontal="center" vertical="center" wrapText="1"/>
    </xf>
    <xf numFmtId="164" fontId="22" fillId="0" borderId="10" xfId="2" applyNumberFormat="1" applyFont="1" applyBorder="1" applyAlignment="1" applyProtection="1">
      <alignment horizontal="center" vertical="center" wrapText="1"/>
    </xf>
    <xf numFmtId="164" fontId="28" fillId="22" borderId="10" xfId="2" applyNumberFormat="1" applyFont="1" applyFill="1" applyBorder="1" applyAlignment="1" applyProtection="1">
      <alignment horizontal="center" vertical="center" wrapText="1"/>
    </xf>
    <xf numFmtId="164" fontId="13" fillId="2" borderId="10" xfId="2" applyNumberFormat="1" applyFont="1" applyFill="1" applyBorder="1" applyAlignment="1" applyProtection="1">
      <alignment horizontal="center" vertical="center" wrapText="1"/>
    </xf>
    <xf numFmtId="164" fontId="12" fillId="16" borderId="3" xfId="2" applyNumberFormat="1" applyFont="1" applyFill="1" applyBorder="1" applyAlignment="1" applyProtection="1">
      <alignment horizontal="center" vertical="center" wrapText="1"/>
    </xf>
    <xf numFmtId="164" fontId="14" fillId="18" borderId="13" xfId="2" applyNumberFormat="1" applyFont="1" applyFill="1" applyBorder="1" applyAlignment="1" applyProtection="1">
      <alignment horizontal="center" vertical="center" wrapText="1"/>
    </xf>
    <xf numFmtId="0" fontId="22" fillId="15" borderId="10" xfId="1" applyFont="1" applyFill="1" applyBorder="1" applyAlignment="1" applyProtection="1">
      <alignment horizontal="center" vertical="center" wrapText="1" readingOrder="1"/>
    </xf>
    <xf numFmtId="0" fontId="22" fillId="17" borderId="10" xfId="1" applyFont="1" applyFill="1" applyBorder="1" applyAlignment="1" applyProtection="1">
      <alignment horizontal="center" vertical="center" wrapText="1" readingOrder="1"/>
    </xf>
    <xf numFmtId="164" fontId="12" fillId="22" borderId="10" xfId="2" applyNumberFormat="1" applyFont="1" applyFill="1" applyBorder="1" applyAlignment="1" applyProtection="1">
      <alignment horizontal="center" vertical="center" wrapText="1"/>
    </xf>
    <xf numFmtId="0" fontId="13" fillId="2" borderId="10" xfId="1" applyFont="1" applyFill="1" applyBorder="1" applyAlignment="1" applyProtection="1">
      <alignment vertical="center" readingOrder="1"/>
    </xf>
    <xf numFmtId="0" fontId="13" fillId="2" borderId="10" xfId="1" applyFont="1" applyFill="1" applyBorder="1" applyAlignment="1" applyProtection="1">
      <alignment vertical="center" wrapText="1" readingOrder="1"/>
    </xf>
    <xf numFmtId="164" fontId="14" fillId="2" borderId="10" xfId="2" applyNumberFormat="1" applyFont="1" applyFill="1" applyBorder="1" applyAlignment="1" applyProtection="1">
      <alignment vertical="center" wrapText="1"/>
    </xf>
    <xf numFmtId="164" fontId="22" fillId="2" borderId="10" xfId="2" applyNumberFormat="1" applyFont="1" applyFill="1" applyBorder="1" applyAlignment="1" applyProtection="1">
      <alignment vertical="center" wrapText="1"/>
    </xf>
    <xf numFmtId="164" fontId="13" fillId="2" borderId="3" xfId="2" applyNumberFormat="1" applyFont="1" applyFill="1" applyBorder="1" applyAlignment="1" applyProtection="1">
      <alignment vertical="top" wrapText="1" readingOrder="1"/>
    </xf>
    <xf numFmtId="164" fontId="22" fillId="18" borderId="10" xfId="2" applyNumberFormat="1" applyFont="1" applyFill="1" applyBorder="1" applyAlignment="1" applyProtection="1">
      <alignment vertical="center" wrapText="1"/>
    </xf>
    <xf numFmtId="164" fontId="42" fillId="18" borderId="5" xfId="2" applyNumberFormat="1" applyFont="1" applyFill="1" applyBorder="1" applyAlignment="1" applyProtection="1">
      <alignment vertical="center" wrapText="1"/>
    </xf>
    <xf numFmtId="164" fontId="22" fillId="19" borderId="10" xfId="2" applyNumberFormat="1" applyFont="1" applyFill="1" applyBorder="1" applyAlignment="1" applyProtection="1">
      <alignment vertical="center" wrapText="1"/>
    </xf>
    <xf numFmtId="164" fontId="14" fillId="20" borderId="10" xfId="2" applyNumberFormat="1" applyFont="1" applyFill="1" applyBorder="1" applyAlignment="1" applyProtection="1">
      <alignment vertical="center" wrapText="1"/>
    </xf>
    <xf numFmtId="164" fontId="13" fillId="20" borderId="10" xfId="2" applyNumberFormat="1" applyFont="1" applyFill="1" applyBorder="1" applyAlignment="1" applyProtection="1">
      <alignment vertical="top" wrapText="1" readingOrder="1"/>
    </xf>
    <xf numFmtId="164" fontId="14" fillId="21" borderId="10" xfId="2" applyNumberFormat="1" applyFont="1" applyFill="1" applyBorder="1" applyAlignment="1" applyProtection="1">
      <alignment vertical="center" wrapText="1"/>
    </xf>
    <xf numFmtId="164" fontId="22" fillId="22" borderId="10" xfId="2" applyNumberFormat="1" applyFont="1" applyFill="1" applyBorder="1" applyAlignment="1" applyProtection="1">
      <alignment vertical="center" wrapText="1"/>
    </xf>
    <xf numFmtId="164" fontId="13" fillId="20" borderId="10" xfId="2" applyNumberFormat="1" applyFont="1" applyFill="1" applyBorder="1" applyAlignment="1" applyProtection="1">
      <alignment horizontal="left" vertical="center" wrapText="1" readingOrder="1"/>
    </xf>
    <xf numFmtId="164" fontId="9" fillId="18" borderId="13" xfId="2" applyNumberFormat="1" applyFont="1" applyFill="1" applyBorder="1" applyAlignment="1" applyProtection="1">
      <alignment horizontal="center" vertical="center" wrapText="1"/>
    </xf>
    <xf numFmtId="164" fontId="13" fillId="20" borderId="10" xfId="2" applyNumberFormat="1" applyFont="1" applyFill="1" applyBorder="1" applyAlignment="1" applyProtection="1">
      <alignment horizontal="center" vertical="center" wrapText="1"/>
    </xf>
    <xf numFmtId="0" fontId="12" fillId="2" borderId="10" xfId="1" applyFont="1" applyFill="1" applyBorder="1" applyAlignment="1" applyProtection="1">
      <alignment vertical="center" wrapText="1" readingOrder="1"/>
    </xf>
    <xf numFmtId="164" fontId="13" fillId="18" borderId="10" xfId="2" applyNumberFormat="1" applyFont="1" applyFill="1" applyBorder="1" applyAlignment="1" applyProtection="1">
      <alignment horizontal="center" vertical="center" wrapText="1"/>
    </xf>
    <xf numFmtId="164" fontId="13" fillId="22" borderId="10" xfId="2" applyNumberFormat="1" applyFont="1" applyFill="1" applyBorder="1" applyAlignment="1" applyProtection="1">
      <alignment horizontal="center" vertical="center" wrapText="1"/>
    </xf>
    <xf numFmtId="164" fontId="13" fillId="20" borderId="3" xfId="2" applyNumberFormat="1" applyFont="1" applyFill="1" applyBorder="1" applyAlignment="1" applyProtection="1">
      <alignment horizontal="left" vertical="center" wrapText="1" readingOrder="1"/>
    </xf>
    <xf numFmtId="164" fontId="13" fillId="2" borderId="15" xfId="2" applyNumberFormat="1" applyFont="1" applyFill="1" applyBorder="1" applyAlignment="1" applyProtection="1">
      <alignment horizontal="center" vertical="center" wrapText="1"/>
    </xf>
    <xf numFmtId="0" fontId="28" fillId="2" borderId="0" xfId="1" applyFont="1" applyFill="1" applyAlignment="1" applyProtection="1">
      <alignment horizontal="left" vertical="center"/>
    </xf>
    <xf numFmtId="164" fontId="42" fillId="18" borderId="10" xfId="2" applyNumberFormat="1" applyFont="1" applyFill="1" applyBorder="1" applyAlignment="1" applyProtection="1">
      <alignment horizontal="center" vertical="center" wrapText="1"/>
    </xf>
    <xf numFmtId="0" fontId="12" fillId="2" borderId="0" xfId="1" applyFont="1" applyFill="1" applyAlignment="1" applyProtection="1">
      <alignment horizontal="left" vertical="center"/>
    </xf>
    <xf numFmtId="164" fontId="12" fillId="2" borderId="0" xfId="1" applyNumberFormat="1" applyFont="1" applyFill="1" applyAlignment="1" applyProtection="1">
      <alignment vertical="center"/>
    </xf>
    <xf numFmtId="0" fontId="40" fillId="2" borderId="0" xfId="1" applyFont="1" applyFill="1" applyAlignment="1" applyProtection="1">
      <alignment horizontal="center" vertical="center"/>
    </xf>
    <xf numFmtId="0" fontId="24" fillId="2" borderId="0" xfId="1" applyFont="1" applyFill="1" applyAlignment="1" applyProtection="1">
      <alignment horizontal="center" vertical="center"/>
    </xf>
    <xf numFmtId="0" fontId="14" fillId="0" borderId="0" xfId="1" applyFont="1" applyAlignment="1" applyProtection="1">
      <alignment horizontal="center" vertical="center"/>
    </xf>
    <xf numFmtId="0" fontId="40" fillId="0" borderId="0" xfId="1" applyFont="1" applyAlignment="1" applyProtection="1">
      <alignment horizontal="center" vertical="center"/>
    </xf>
    <xf numFmtId="0" fontId="24" fillId="0" borderId="0" xfId="1" applyFont="1" applyAlignment="1" applyProtection="1">
      <alignment horizontal="center" vertical="center"/>
    </xf>
    <xf numFmtId="0" fontId="9" fillId="0" borderId="0" xfId="1" applyFont="1" applyFill="1" applyAlignment="1" applyProtection="1">
      <alignment horizontal="center" vertical="center" wrapText="1"/>
    </xf>
    <xf numFmtId="0" fontId="24" fillId="0" borderId="0" xfId="1" applyFont="1" applyAlignment="1" applyProtection="1">
      <alignment vertical="center"/>
    </xf>
    <xf numFmtId="0" fontId="12" fillId="0" borderId="0" xfId="1" applyFont="1" applyAlignment="1" applyProtection="1">
      <alignment vertical="center"/>
    </xf>
    <xf numFmtId="0" fontId="10" fillId="0" borderId="0" xfId="1" applyFont="1" applyAlignment="1" applyProtection="1">
      <alignment vertical="center"/>
    </xf>
    <xf numFmtId="0" fontId="14" fillId="0" borderId="2" xfId="2" applyFont="1" applyBorder="1" applyAlignment="1" applyProtection="1">
      <alignment horizontal="center" vertical="center" wrapText="1"/>
    </xf>
    <xf numFmtId="0" fontId="14" fillId="0" borderId="2" xfId="1" applyFont="1" applyBorder="1" applyAlignment="1" applyProtection="1">
      <alignment horizontal="center" vertical="center" wrapText="1"/>
    </xf>
    <xf numFmtId="0" fontId="14" fillId="0" borderId="6" xfId="1" applyFont="1" applyBorder="1" applyAlignment="1" applyProtection="1">
      <alignment horizontal="center" vertical="center" wrapText="1"/>
    </xf>
    <xf numFmtId="0" fontId="12" fillId="0" borderId="7" xfId="1" applyFont="1" applyBorder="1" applyAlignment="1" applyProtection="1">
      <alignment horizontal="center" vertical="center" wrapText="1"/>
    </xf>
    <xf numFmtId="0" fontId="12" fillId="0" borderId="8" xfId="1" applyFont="1" applyBorder="1" applyAlignment="1" applyProtection="1">
      <alignment horizontal="center" vertical="center" wrapText="1"/>
    </xf>
    <xf numFmtId="0" fontId="9" fillId="3" borderId="2" xfId="1" applyFont="1" applyFill="1" applyBorder="1" applyAlignment="1" applyProtection="1">
      <alignment horizontal="center" vertical="center" wrapText="1"/>
    </xf>
    <xf numFmtId="0" fontId="9" fillId="4" borderId="2" xfId="1" applyFont="1" applyFill="1" applyBorder="1" applyAlignment="1" applyProtection="1">
      <alignment horizontal="center" vertical="center" wrapText="1"/>
    </xf>
    <xf numFmtId="164" fontId="14" fillId="2" borderId="2" xfId="3" applyNumberFormat="1" applyFont="1" applyFill="1" applyBorder="1" applyAlignment="1" applyProtection="1">
      <alignment horizontal="center" vertical="center" wrapText="1"/>
    </xf>
    <xf numFmtId="0" fontId="10" fillId="0" borderId="0" xfId="1" applyFont="1" applyAlignment="1" applyProtection="1">
      <alignment horizontal="center" vertical="center" wrapText="1"/>
    </xf>
    <xf numFmtId="164" fontId="14" fillId="2" borderId="16" xfId="3" applyNumberFormat="1" applyFont="1" applyFill="1" applyBorder="1" applyAlignment="1" applyProtection="1">
      <alignment horizontal="left" vertical="center" wrapText="1"/>
    </xf>
    <xf numFmtId="0" fontId="9" fillId="5" borderId="3" xfId="1" applyFont="1" applyFill="1" applyBorder="1" applyAlignment="1" applyProtection="1">
      <alignment horizontal="center" vertical="center" wrapText="1"/>
    </xf>
    <xf numFmtId="0" fontId="9" fillId="0" borderId="4" xfId="1" applyFont="1" applyBorder="1" applyAlignment="1" applyProtection="1">
      <alignment horizontal="center" vertical="center" wrapText="1"/>
    </xf>
    <xf numFmtId="0" fontId="10" fillId="5" borderId="4" xfId="1" applyFont="1" applyFill="1" applyBorder="1" applyAlignment="1" applyProtection="1">
      <alignment horizontal="center" vertical="center" wrapText="1"/>
    </xf>
    <xf numFmtId="0" fontId="10" fillId="5" borderId="7" xfId="1" applyFont="1" applyFill="1" applyBorder="1" applyAlignment="1" applyProtection="1">
      <alignment horizontal="center" vertical="center" wrapText="1"/>
    </xf>
    <xf numFmtId="0" fontId="40" fillId="20" borderId="10" xfId="1" applyFont="1" applyFill="1" applyBorder="1" applyAlignment="1" applyProtection="1">
      <alignment horizontal="center" vertical="center" wrapText="1"/>
    </xf>
    <xf numFmtId="0" fontId="10" fillId="0" borderId="10" xfId="1" applyFont="1" applyBorder="1" applyAlignment="1" applyProtection="1">
      <alignment horizontal="center" vertical="center" wrapText="1"/>
    </xf>
    <xf numFmtId="0" fontId="12" fillId="0" borderId="10" xfId="1" applyFont="1" applyBorder="1" applyAlignment="1" applyProtection="1">
      <alignment horizontal="center" vertical="center" wrapText="1"/>
    </xf>
    <xf numFmtId="0" fontId="14" fillId="0" borderId="11" xfId="2" applyFont="1" applyBorder="1" applyAlignment="1" applyProtection="1">
      <alignment horizontal="center" vertical="center" wrapText="1"/>
    </xf>
    <xf numFmtId="0" fontId="14" fillId="0" borderId="11" xfId="1" applyFont="1" applyBorder="1" applyAlignment="1" applyProtection="1">
      <alignment horizontal="center" vertical="center" wrapText="1"/>
    </xf>
    <xf numFmtId="0" fontId="12" fillId="5" borderId="10" xfId="1" applyFont="1" applyFill="1" applyBorder="1" applyAlignment="1" applyProtection="1">
      <alignment horizontal="center" vertical="center" wrapText="1"/>
    </xf>
    <xf numFmtId="0" fontId="12" fillId="7" borderId="10" xfId="1" applyFont="1" applyFill="1" applyBorder="1" applyAlignment="1" applyProtection="1">
      <alignment horizontal="center" vertical="center" wrapText="1"/>
    </xf>
    <xf numFmtId="0" fontId="12" fillId="7" borderId="11" xfId="1" applyFont="1" applyFill="1" applyBorder="1" applyAlignment="1" applyProtection="1">
      <alignment horizontal="center" vertical="center" wrapText="1"/>
    </xf>
    <xf numFmtId="0" fontId="9" fillId="3" borderId="11" xfId="1" applyFont="1" applyFill="1" applyBorder="1" applyAlignment="1" applyProtection="1">
      <alignment horizontal="center" vertical="center" wrapText="1"/>
    </xf>
    <xf numFmtId="0" fontId="9" fillId="4" borderId="11" xfId="1" applyFont="1" applyFill="1" applyBorder="1" applyAlignment="1" applyProtection="1">
      <alignment horizontal="center" vertical="center" wrapText="1"/>
    </xf>
    <xf numFmtId="164" fontId="14" fillId="2" borderId="11" xfId="3" applyNumberFormat="1" applyFont="1" applyFill="1" applyBorder="1" applyAlignment="1" applyProtection="1">
      <alignment horizontal="center" vertical="center" wrapText="1"/>
    </xf>
    <xf numFmtId="164" fontId="14" fillId="2" borderId="11" xfId="3" applyNumberFormat="1" applyFont="1" applyFill="1" applyBorder="1" applyAlignment="1" applyProtection="1">
      <alignment horizontal="center" vertical="center" wrapText="1"/>
    </xf>
    <xf numFmtId="0" fontId="10" fillId="0" borderId="1" xfId="1" applyFont="1" applyBorder="1" applyAlignment="1" applyProtection="1">
      <alignment horizontal="center" vertical="center" wrapText="1"/>
    </xf>
    <xf numFmtId="0" fontId="9" fillId="5" borderId="11" xfId="1" applyFont="1" applyFill="1" applyBorder="1" applyAlignment="1" applyProtection="1">
      <alignment horizontal="center" vertical="center" wrapText="1"/>
    </xf>
    <xf numFmtId="0" fontId="28" fillId="5" borderId="11" xfId="1" applyFont="1" applyFill="1" applyBorder="1" applyAlignment="1" applyProtection="1">
      <alignment horizontal="center" vertical="center" wrapText="1"/>
    </xf>
    <xf numFmtId="164" fontId="14" fillId="7" borderId="11" xfId="3" applyNumberFormat="1" applyFont="1" applyFill="1" applyBorder="1" applyAlignment="1" applyProtection="1">
      <alignment horizontal="center" vertical="center" wrapText="1"/>
    </xf>
    <xf numFmtId="164" fontId="26" fillId="7" borderId="11" xfId="3" applyNumberFormat="1" applyFont="1" applyFill="1" applyBorder="1" applyAlignment="1" applyProtection="1">
      <alignment horizontal="center" vertical="center" wrapText="1"/>
    </xf>
    <xf numFmtId="164" fontId="14" fillId="8" borderId="11" xfId="3" applyNumberFormat="1" applyFont="1" applyFill="1" applyBorder="1" applyAlignment="1" applyProtection="1">
      <alignment horizontal="center" vertical="center" wrapText="1"/>
    </xf>
    <xf numFmtId="164" fontId="14" fillId="9" borderId="11" xfId="3" applyNumberFormat="1" applyFont="1" applyFill="1" applyBorder="1" applyAlignment="1" applyProtection="1">
      <alignment horizontal="center" vertical="center" wrapText="1"/>
    </xf>
    <xf numFmtId="164" fontId="14" fillId="10" borderId="10" xfId="3" applyNumberFormat="1" applyFont="1" applyFill="1" applyBorder="1" applyAlignment="1" applyProtection="1">
      <alignment horizontal="center" vertical="center" wrapText="1"/>
    </xf>
    <xf numFmtId="0" fontId="9" fillId="11" borderId="10" xfId="1" applyFont="1" applyFill="1" applyBorder="1" applyAlignment="1" applyProtection="1">
      <alignment horizontal="center" vertical="center" wrapText="1"/>
    </xf>
    <xf numFmtId="0" fontId="13" fillId="3" borderId="10" xfId="2" applyFont="1" applyFill="1" applyBorder="1" applyAlignment="1" applyProtection="1">
      <alignment horizontal="center" vertical="center" wrapText="1"/>
    </xf>
    <xf numFmtId="0" fontId="13" fillId="10" borderId="10" xfId="2" applyFont="1" applyFill="1" applyBorder="1" applyAlignment="1" applyProtection="1">
      <alignment horizontal="center" vertical="center" wrapText="1"/>
    </xf>
    <xf numFmtId="0" fontId="13" fillId="0" borderId="10" xfId="2" applyFont="1" applyBorder="1" applyAlignment="1" applyProtection="1">
      <alignment horizontal="left" vertical="center" wrapText="1"/>
    </xf>
    <xf numFmtId="0" fontId="22" fillId="5" borderId="10" xfId="2" applyFont="1" applyFill="1" applyBorder="1" applyAlignment="1" applyProtection="1">
      <alignment horizontal="center" vertical="center" wrapText="1"/>
    </xf>
    <xf numFmtId="0" fontId="24" fillId="5" borderId="10" xfId="2" applyFont="1" applyFill="1" applyBorder="1" applyAlignment="1" applyProtection="1">
      <alignment horizontal="center" vertical="center" wrapText="1"/>
    </xf>
    <xf numFmtId="0" fontId="13" fillId="7" borderId="10" xfId="2" applyFont="1" applyFill="1" applyBorder="1" applyAlignment="1" applyProtection="1">
      <alignment horizontal="center" vertical="center" wrapText="1"/>
    </xf>
    <xf numFmtId="0" fontId="24" fillId="7" borderId="10" xfId="2" applyFont="1" applyFill="1" applyBorder="1" applyAlignment="1" applyProtection="1">
      <alignment horizontal="center" vertical="center" wrapText="1"/>
    </xf>
    <xf numFmtId="0" fontId="13" fillId="5" borderId="10" xfId="2" applyFont="1" applyFill="1" applyBorder="1" applyAlignment="1" applyProtection="1">
      <alignment horizontal="center" vertical="center" wrapText="1"/>
    </xf>
    <xf numFmtId="0" fontId="13" fillId="12" borderId="10" xfId="2" applyFont="1" applyFill="1" applyBorder="1" applyAlignment="1" applyProtection="1">
      <alignment horizontal="center" vertical="center" wrapText="1"/>
    </xf>
    <xf numFmtId="0" fontId="40" fillId="20" borderId="10" xfId="2" applyFont="1" applyFill="1" applyBorder="1" applyAlignment="1" applyProtection="1">
      <alignment horizontal="left" vertical="center" wrapText="1"/>
    </xf>
    <xf numFmtId="0" fontId="9" fillId="24" borderId="10" xfId="1" applyFont="1" applyFill="1" applyBorder="1" applyAlignment="1" applyProtection="1">
      <alignment vertical="center" wrapText="1"/>
    </xf>
    <xf numFmtId="0" fontId="9" fillId="24" borderId="10" xfId="1" applyFont="1" applyFill="1" applyBorder="1" applyAlignment="1" applyProtection="1">
      <alignment horizontal="left" vertical="center" wrapText="1"/>
    </xf>
    <xf numFmtId="164" fontId="9" fillId="24" borderId="10" xfId="1" applyNumberFormat="1" applyFont="1" applyFill="1" applyBorder="1" applyAlignment="1" applyProtection="1">
      <alignment horizontal="right" vertical="center" wrapText="1"/>
    </xf>
    <xf numFmtId="164" fontId="28" fillId="24" borderId="10" xfId="1" applyNumberFormat="1" applyFont="1" applyFill="1" applyBorder="1" applyAlignment="1" applyProtection="1">
      <alignment horizontal="right" vertical="center" wrapText="1"/>
    </xf>
    <xf numFmtId="164" fontId="9" fillId="24" borderId="10" xfId="1" applyNumberFormat="1" applyFont="1" applyFill="1" applyBorder="1" applyAlignment="1" applyProtection="1">
      <alignment horizontal="center" vertical="center" wrapText="1"/>
    </xf>
    <xf numFmtId="164" fontId="40" fillId="24" borderId="10" xfId="1" applyNumberFormat="1" applyFont="1" applyFill="1" applyBorder="1" applyAlignment="1" applyProtection="1">
      <alignment horizontal="right" vertical="center" wrapText="1"/>
    </xf>
    <xf numFmtId="0" fontId="22" fillId="25" borderId="10" xfId="1" applyFont="1" applyFill="1" applyBorder="1" applyAlignment="1" applyProtection="1">
      <alignment vertical="top" readingOrder="1"/>
    </xf>
    <xf numFmtId="0" fontId="22" fillId="25" borderId="10" xfId="1" applyFont="1" applyFill="1" applyBorder="1" applyAlignment="1" applyProtection="1">
      <alignment vertical="top" wrapText="1" readingOrder="1"/>
    </xf>
    <xf numFmtId="164" fontId="9" fillId="26" borderId="10" xfId="1" applyNumberFormat="1" applyFont="1" applyFill="1" applyBorder="1" applyAlignment="1" applyProtection="1">
      <alignment horizontal="right" vertical="center" wrapText="1"/>
    </xf>
    <xf numFmtId="164" fontId="28" fillId="26" borderId="10" xfId="1" applyNumberFormat="1" applyFont="1" applyFill="1" applyBorder="1" applyAlignment="1" applyProtection="1">
      <alignment horizontal="right" vertical="center" wrapText="1"/>
    </xf>
    <xf numFmtId="164" fontId="9" fillId="26" borderId="10" xfId="1" applyNumberFormat="1" applyFont="1" applyFill="1" applyBorder="1" applyAlignment="1" applyProtection="1">
      <alignment horizontal="center" vertical="center" wrapText="1"/>
    </xf>
    <xf numFmtId="164" fontId="40" fillId="26" borderId="10" xfId="1" applyNumberFormat="1" applyFont="1" applyFill="1" applyBorder="1" applyAlignment="1" applyProtection="1">
      <alignment horizontal="right" vertical="center" wrapText="1"/>
    </xf>
    <xf numFmtId="0" fontId="22" fillId="27" borderId="10" xfId="1" applyFont="1" applyFill="1" applyBorder="1" applyAlignment="1" applyProtection="1">
      <alignment vertical="top" readingOrder="1"/>
    </xf>
    <xf numFmtId="0" fontId="22" fillId="27" borderId="10" xfId="1" applyFont="1" applyFill="1" applyBorder="1" applyAlignment="1" applyProtection="1">
      <alignment vertical="top" wrapText="1" readingOrder="1"/>
    </xf>
    <xf numFmtId="164" fontId="45" fillId="12" borderId="10" xfId="1" applyNumberFormat="1" applyFont="1" applyFill="1" applyBorder="1" applyAlignment="1" applyProtection="1">
      <alignment horizontal="right" vertical="center" wrapText="1"/>
    </xf>
    <xf numFmtId="164" fontId="33" fillId="12" borderId="10" xfId="1" applyNumberFormat="1" applyFont="1" applyFill="1" applyBorder="1" applyAlignment="1" applyProtection="1">
      <alignment horizontal="right" vertical="center" wrapText="1"/>
    </xf>
    <xf numFmtId="164" fontId="9" fillId="12" borderId="10" xfId="1" applyNumberFormat="1" applyFont="1" applyFill="1" applyBorder="1" applyAlignment="1" applyProtection="1">
      <alignment horizontal="center" vertical="center" wrapText="1"/>
    </xf>
    <xf numFmtId="164" fontId="42" fillId="12" borderId="10" xfId="1" applyNumberFormat="1" applyFont="1" applyFill="1" applyBorder="1" applyAlignment="1" applyProtection="1">
      <alignment horizontal="right" vertical="center" wrapText="1"/>
    </xf>
    <xf numFmtId="0" fontId="29" fillId="2" borderId="0" xfId="1" applyFont="1" applyFill="1" applyAlignment="1" applyProtection="1">
      <alignment horizontal="center" vertical="center"/>
    </xf>
    <xf numFmtId="164" fontId="10" fillId="2" borderId="10" xfId="1" applyNumberFormat="1" applyFont="1" applyFill="1" applyBorder="1" applyAlignment="1" applyProtection="1">
      <alignment horizontal="right" vertical="center" wrapText="1"/>
    </xf>
    <xf numFmtId="164" fontId="13" fillId="2" borderId="10" xfId="1" applyNumberFormat="1" applyFont="1" applyFill="1" applyBorder="1" applyAlignment="1" applyProtection="1">
      <alignment horizontal="right" vertical="center" wrapText="1"/>
    </xf>
    <xf numFmtId="164" fontId="22" fillId="28" borderId="10" xfId="1" applyNumberFormat="1" applyFont="1" applyFill="1" applyBorder="1" applyAlignment="1" applyProtection="1">
      <alignment horizontal="right" vertical="center" wrapText="1"/>
    </xf>
    <xf numFmtId="164" fontId="12" fillId="2" borderId="10" xfId="1" applyNumberFormat="1" applyFont="1" applyFill="1" applyBorder="1" applyAlignment="1" applyProtection="1">
      <alignment horizontal="left" vertical="center" wrapText="1"/>
    </xf>
    <xf numFmtId="0" fontId="12" fillId="2" borderId="10" xfId="1" applyFont="1" applyFill="1" applyBorder="1" applyAlignment="1" applyProtection="1">
      <alignment horizontal="right" vertical="center" wrapText="1"/>
    </xf>
    <xf numFmtId="165" fontId="22" fillId="2" borderId="10" xfId="1" applyNumberFormat="1" applyFont="1" applyFill="1" applyBorder="1" applyAlignment="1" applyProtection="1">
      <alignment horizontal="right" vertical="center" wrapText="1"/>
    </xf>
    <xf numFmtId="164" fontId="33" fillId="2" borderId="10" xfId="1" applyNumberFormat="1" applyFont="1" applyFill="1" applyBorder="1" applyAlignment="1" applyProtection="1">
      <alignment horizontal="right" vertical="center" wrapText="1"/>
    </xf>
    <xf numFmtId="165" fontId="13" fillId="2" borderId="10" xfId="1" applyNumberFormat="1" applyFont="1" applyFill="1" applyBorder="1" applyAlignment="1" applyProtection="1">
      <alignment horizontal="right" vertical="center" wrapText="1"/>
    </xf>
    <xf numFmtId="164" fontId="46" fillId="2" borderId="10" xfId="1" applyNumberFormat="1" applyFont="1" applyFill="1" applyBorder="1" applyAlignment="1" applyProtection="1">
      <alignment horizontal="right" vertical="center" wrapText="1"/>
    </xf>
    <xf numFmtId="164" fontId="12" fillId="2" borderId="10" xfId="1" applyNumberFormat="1" applyFont="1" applyFill="1" applyBorder="1" applyAlignment="1" applyProtection="1">
      <alignment horizontal="right" vertical="center"/>
    </xf>
    <xf numFmtId="164" fontId="9" fillId="19" borderId="10" xfId="1" applyNumberFormat="1" applyFont="1" applyFill="1" applyBorder="1" applyAlignment="1" applyProtection="1">
      <alignment horizontal="right" vertical="center" wrapText="1"/>
    </xf>
    <xf numFmtId="164" fontId="45" fillId="2" borderId="10" xfId="1" applyNumberFormat="1" applyFont="1" applyFill="1" applyBorder="1" applyAlignment="1" applyProtection="1">
      <alignment horizontal="right" vertical="center" wrapText="1"/>
    </xf>
    <xf numFmtId="164" fontId="9" fillId="0" borderId="10" xfId="1" applyNumberFormat="1" applyFont="1" applyFill="1" applyBorder="1" applyAlignment="1" applyProtection="1">
      <alignment horizontal="center" vertical="center" wrapText="1"/>
    </xf>
    <xf numFmtId="165" fontId="13" fillId="29" borderId="10" xfId="1" applyNumberFormat="1" applyFont="1" applyFill="1" applyBorder="1" applyAlignment="1" applyProtection="1">
      <alignment horizontal="right" vertical="center" wrapText="1"/>
    </xf>
    <xf numFmtId="2" fontId="12" fillId="20" borderId="10" xfId="1" applyNumberFormat="1" applyFont="1" applyFill="1" applyBorder="1" applyAlignment="1" applyProtection="1">
      <alignment horizontal="right" vertical="center" wrapText="1"/>
    </xf>
    <xf numFmtId="165" fontId="42" fillId="20" borderId="10" xfId="1" quotePrefix="1" applyNumberFormat="1" applyFont="1" applyFill="1" applyBorder="1" applyAlignment="1" applyProtection="1">
      <alignment horizontal="left" vertical="center" wrapText="1"/>
    </xf>
    <xf numFmtId="164" fontId="9" fillId="2" borderId="10" xfId="1" applyNumberFormat="1" applyFont="1" applyFill="1" applyBorder="1" applyAlignment="1" applyProtection="1">
      <alignment horizontal="right" vertical="center" wrapText="1"/>
    </xf>
    <xf numFmtId="164" fontId="45" fillId="6" borderId="10" xfId="1" applyNumberFormat="1" applyFont="1" applyFill="1" applyBorder="1" applyAlignment="1" applyProtection="1">
      <alignment horizontal="right" vertical="center" wrapText="1"/>
    </xf>
    <xf numFmtId="164" fontId="47" fillId="6" borderId="10" xfId="1" applyNumberFormat="1" applyFont="1" applyFill="1" applyBorder="1" applyAlignment="1" applyProtection="1">
      <alignment vertical="center" wrapText="1"/>
    </xf>
    <xf numFmtId="164" fontId="13" fillId="2" borderId="10" xfId="1" applyNumberFormat="1" applyFont="1" applyFill="1" applyBorder="1" applyAlignment="1" applyProtection="1">
      <alignment horizontal="left" vertical="center" wrapText="1"/>
    </xf>
    <xf numFmtId="165" fontId="26" fillId="2" borderId="10" xfId="1" applyNumberFormat="1" applyFont="1" applyFill="1" applyBorder="1" applyAlignment="1" applyProtection="1">
      <alignment horizontal="right" vertical="center" wrapText="1"/>
    </xf>
    <xf numFmtId="164" fontId="12" fillId="20" borderId="10" xfId="1" applyNumberFormat="1" applyFont="1" applyFill="1" applyBorder="1" applyAlignment="1" applyProtection="1">
      <alignment horizontal="right" vertical="center" wrapText="1"/>
    </xf>
    <xf numFmtId="164" fontId="42" fillId="20" borderId="10" xfId="1" applyNumberFormat="1" applyFont="1" applyFill="1" applyBorder="1" applyAlignment="1" applyProtection="1">
      <alignment horizontal="left" vertical="center" wrapText="1"/>
    </xf>
    <xf numFmtId="164" fontId="10" fillId="2" borderId="10" xfId="1" applyNumberFormat="1" applyFont="1" applyFill="1" applyBorder="1" applyAlignment="1" applyProtection="1">
      <alignment horizontal="left" vertical="center" wrapText="1"/>
    </xf>
    <xf numFmtId="0" fontId="42" fillId="20" borderId="10" xfId="1" applyFont="1" applyFill="1" applyBorder="1" applyAlignment="1" applyProtection="1">
      <alignment horizontal="left" vertical="center" wrapText="1"/>
    </xf>
    <xf numFmtId="164" fontId="45" fillId="2" borderId="10" xfId="1" applyNumberFormat="1" applyFont="1" applyFill="1" applyBorder="1" applyAlignment="1" applyProtection="1">
      <alignment horizontal="left" vertical="center" wrapText="1"/>
    </xf>
    <xf numFmtId="164" fontId="46" fillId="2" borderId="10" xfId="1" applyNumberFormat="1" applyFont="1" applyFill="1" applyBorder="1" applyAlignment="1" applyProtection="1">
      <alignment horizontal="left" vertical="center" wrapText="1"/>
    </xf>
    <xf numFmtId="164" fontId="45" fillId="20" borderId="10" xfId="1" applyNumberFormat="1" applyFont="1" applyFill="1" applyBorder="1" applyAlignment="1" applyProtection="1">
      <alignment horizontal="right" vertical="center" wrapText="1"/>
    </xf>
    <xf numFmtId="164" fontId="10" fillId="6" borderId="10" xfId="1" applyNumberFormat="1" applyFont="1" applyFill="1" applyBorder="1" applyAlignment="1" applyProtection="1">
      <alignment vertical="center" wrapText="1"/>
    </xf>
    <xf numFmtId="0" fontId="29" fillId="2" borderId="0" xfId="1" applyFont="1" applyFill="1" applyAlignment="1" applyProtection="1">
      <alignment horizontal="left" vertical="center"/>
    </xf>
    <xf numFmtId="0" fontId="14" fillId="2" borderId="10" xfId="1" applyFont="1" applyFill="1" applyBorder="1" applyAlignment="1" applyProtection="1">
      <alignment horizontal="right" vertical="center"/>
    </xf>
    <xf numFmtId="0" fontId="12" fillId="20" borderId="10" xfId="1" applyFont="1" applyFill="1" applyBorder="1" applyAlignment="1" applyProtection="1">
      <alignment horizontal="right" vertical="center"/>
    </xf>
    <xf numFmtId="164" fontId="10" fillId="0" borderId="10" xfId="1" applyNumberFormat="1" applyFont="1" applyBorder="1" applyAlignment="1" applyProtection="1">
      <alignment horizontal="left" vertical="center" wrapText="1"/>
    </xf>
    <xf numFmtId="164" fontId="26" fillId="2" borderId="10" xfId="1" applyNumberFormat="1" applyFont="1" applyFill="1" applyBorder="1" applyAlignment="1" applyProtection="1">
      <alignment horizontal="right" vertical="center" wrapText="1"/>
    </xf>
    <xf numFmtId="164" fontId="9" fillId="30" borderId="10" xfId="1" applyNumberFormat="1" applyFont="1" applyFill="1" applyBorder="1" applyAlignment="1" applyProtection="1">
      <alignment horizontal="right" vertical="center" wrapText="1"/>
    </xf>
    <xf numFmtId="0" fontId="12" fillId="20" borderId="10" xfId="1" applyFont="1" applyFill="1" applyBorder="1" applyAlignment="1" applyProtection="1">
      <alignment horizontal="center" vertical="center" wrapText="1"/>
    </xf>
    <xf numFmtId="0" fontId="40" fillId="20" borderId="10" xfId="1" applyFont="1" applyFill="1" applyBorder="1" applyAlignment="1" applyProtection="1">
      <alignment horizontal="center" vertical="center" wrapText="1"/>
    </xf>
    <xf numFmtId="164" fontId="45" fillId="0" borderId="10" xfId="1" applyNumberFormat="1" applyFont="1" applyBorder="1" applyAlignment="1" applyProtection="1">
      <alignment horizontal="right" vertical="center" wrapText="1"/>
    </xf>
    <xf numFmtId="0" fontId="14" fillId="0" borderId="10" xfId="1" applyFont="1" applyBorder="1" applyAlignment="1" applyProtection="1">
      <alignment horizontal="right" vertical="center"/>
    </xf>
    <xf numFmtId="0" fontId="40" fillId="20" borderId="10" xfId="1" applyFont="1" applyFill="1" applyBorder="1" applyAlignment="1" applyProtection="1">
      <alignment horizontal="left" vertical="center" wrapText="1"/>
    </xf>
    <xf numFmtId="164" fontId="10" fillId="6" borderId="10" xfId="1" applyNumberFormat="1" applyFont="1" applyFill="1" applyBorder="1" applyAlignment="1" applyProtection="1">
      <alignment horizontal="left" vertical="center" wrapText="1"/>
    </xf>
    <xf numFmtId="164" fontId="45" fillId="6" borderId="10" xfId="1" applyNumberFormat="1" applyFont="1" applyFill="1" applyBorder="1" applyAlignment="1" applyProtection="1">
      <alignment horizontal="center" vertical="center" wrapText="1"/>
    </xf>
    <xf numFmtId="164" fontId="9" fillId="2" borderId="10" xfId="1" applyNumberFormat="1" applyFont="1" applyFill="1" applyBorder="1" applyAlignment="1" applyProtection="1">
      <alignment horizontal="left" vertical="center" wrapText="1"/>
    </xf>
    <xf numFmtId="164" fontId="9" fillId="20" borderId="10" xfId="1" applyNumberFormat="1" applyFont="1" applyFill="1" applyBorder="1" applyAlignment="1" applyProtection="1">
      <alignment horizontal="right" vertical="center" wrapText="1"/>
    </xf>
    <xf numFmtId="164" fontId="40" fillId="20" borderId="10" xfId="1" applyNumberFormat="1" applyFont="1" applyFill="1" applyBorder="1" applyAlignment="1" applyProtection="1">
      <alignment horizontal="left" vertical="center" wrapText="1"/>
    </xf>
    <xf numFmtId="164" fontId="9" fillId="12" borderId="10" xfId="1" applyNumberFormat="1" applyFont="1" applyFill="1" applyBorder="1" applyAlignment="1" applyProtection="1">
      <alignment horizontal="right" vertical="center" wrapText="1"/>
    </xf>
    <xf numFmtId="164" fontId="9" fillId="12" borderId="10" xfId="1" applyNumberFormat="1" applyFont="1" applyFill="1" applyBorder="1" applyAlignment="1" applyProtection="1">
      <alignment horizontal="left" vertical="center" wrapText="1"/>
    </xf>
    <xf numFmtId="164" fontId="28" fillId="12" borderId="10" xfId="1" applyNumberFormat="1" applyFont="1" applyFill="1" applyBorder="1" applyAlignment="1" applyProtection="1">
      <alignment horizontal="right" vertical="center" wrapText="1"/>
    </xf>
    <xf numFmtId="164" fontId="10" fillId="2" borderId="10" xfId="1" applyNumberFormat="1" applyFont="1" applyFill="1" applyBorder="1" applyAlignment="1" applyProtection="1">
      <alignment horizontal="left" vertical="top" wrapText="1"/>
    </xf>
    <xf numFmtId="0" fontId="10" fillId="0" borderId="0" xfId="1" applyFont="1" applyAlignment="1" applyProtection="1">
      <alignment horizontal="justify" vertical="center"/>
    </xf>
    <xf numFmtId="164" fontId="40" fillId="20" borderId="10" xfId="1" applyNumberFormat="1" applyFont="1" applyFill="1" applyBorder="1" applyAlignment="1" applyProtection="1">
      <alignment horizontal="left" vertical="top" wrapText="1"/>
    </xf>
    <xf numFmtId="164" fontId="14" fillId="6" borderId="10" xfId="1" applyNumberFormat="1" applyFont="1" applyFill="1" applyBorder="1" applyAlignment="1" applyProtection="1">
      <alignment horizontal="right" vertical="center" wrapText="1"/>
    </xf>
    <xf numFmtId="164" fontId="33" fillId="6" borderId="10" xfId="1" applyNumberFormat="1" applyFont="1" applyFill="1" applyBorder="1" applyAlignment="1" applyProtection="1">
      <alignment horizontal="right" vertical="center" wrapText="1"/>
    </xf>
    <xf numFmtId="0" fontId="19" fillId="20" borderId="10" xfId="1" applyFont="1" applyFill="1" applyBorder="1" applyAlignment="1" applyProtection="1">
      <alignment horizontal="left" vertical="center" wrapText="1"/>
    </xf>
    <xf numFmtId="164" fontId="45" fillId="30" borderId="10" xfId="1" applyNumberFormat="1" applyFont="1" applyFill="1" applyBorder="1" applyAlignment="1" applyProtection="1">
      <alignment horizontal="right" vertical="center" wrapText="1"/>
    </xf>
    <xf numFmtId="0" fontId="12" fillId="30" borderId="10" xfId="1" applyFont="1" applyFill="1" applyBorder="1" applyAlignment="1" applyProtection="1">
      <alignment horizontal="right" vertical="center"/>
    </xf>
    <xf numFmtId="0" fontId="12" fillId="20" borderId="10" xfId="1" applyFont="1" applyFill="1" applyBorder="1" applyAlignment="1" applyProtection="1">
      <alignment horizontal="left" vertical="center" wrapText="1"/>
    </xf>
    <xf numFmtId="164" fontId="29" fillId="2" borderId="10" xfId="1" applyNumberFormat="1" applyFont="1" applyFill="1" applyBorder="1" applyAlignment="1" applyProtection="1">
      <alignment horizontal="right" vertical="center"/>
    </xf>
    <xf numFmtId="164" fontId="29" fillId="20" borderId="10" xfId="1" applyNumberFormat="1" applyFont="1" applyFill="1" applyBorder="1" applyAlignment="1" applyProtection="1">
      <alignment horizontal="right" vertical="center"/>
    </xf>
    <xf numFmtId="164" fontId="19" fillId="2" borderId="10" xfId="1" applyNumberFormat="1" applyFont="1" applyFill="1" applyBorder="1" applyAlignment="1" applyProtection="1">
      <alignment horizontal="left" vertical="center" wrapText="1"/>
    </xf>
    <xf numFmtId="164" fontId="33" fillId="2" borderId="10" xfId="1" applyNumberFormat="1" applyFont="1" applyFill="1" applyBorder="1" applyAlignment="1" applyProtection="1">
      <alignment horizontal="right" vertical="center"/>
    </xf>
    <xf numFmtId="0" fontId="29" fillId="2" borderId="10" xfId="1" applyFont="1" applyFill="1" applyBorder="1" applyAlignment="1" applyProtection="1">
      <alignment horizontal="right" vertical="center"/>
    </xf>
    <xf numFmtId="0" fontId="29" fillId="30" borderId="10" xfId="1" applyFont="1" applyFill="1" applyBorder="1" applyAlignment="1" applyProtection="1">
      <alignment horizontal="right" vertical="center"/>
    </xf>
    <xf numFmtId="164" fontId="19" fillId="20" borderId="10" xfId="1" applyNumberFormat="1" applyFont="1" applyFill="1" applyBorder="1" applyAlignment="1" applyProtection="1">
      <alignment horizontal="left" vertical="center" wrapText="1"/>
    </xf>
    <xf numFmtId="164" fontId="12" fillId="2" borderId="10" xfId="1" applyNumberFormat="1" applyFont="1" applyFill="1" applyBorder="1" applyAlignment="1" applyProtection="1">
      <alignment horizontal="left" vertical="top" wrapText="1"/>
    </xf>
    <xf numFmtId="164" fontId="40" fillId="20" borderId="10" xfId="1" applyNumberFormat="1" applyFont="1" applyFill="1" applyBorder="1" applyAlignment="1" applyProtection="1">
      <alignment horizontal="right" vertical="center" wrapText="1"/>
    </xf>
    <xf numFmtId="164" fontId="10" fillId="0" borderId="10" xfId="1" applyNumberFormat="1" applyFont="1" applyBorder="1" applyAlignment="1" applyProtection="1">
      <alignment horizontal="left" vertical="top" wrapText="1"/>
    </xf>
    <xf numFmtId="0" fontId="12" fillId="0" borderId="10" xfId="1" applyFont="1" applyBorder="1" applyAlignment="1" applyProtection="1">
      <alignment horizontal="right" vertical="center"/>
    </xf>
    <xf numFmtId="164" fontId="9" fillId="0" borderId="10" xfId="1" applyNumberFormat="1" applyFont="1" applyBorder="1" applyAlignment="1" applyProtection="1">
      <alignment horizontal="right" vertical="center" wrapText="1"/>
    </xf>
    <xf numFmtId="164" fontId="48" fillId="2" borderId="10" xfId="1" applyNumberFormat="1" applyFont="1" applyFill="1" applyBorder="1" applyAlignment="1" applyProtection="1">
      <alignment horizontal="right" vertical="center" wrapText="1"/>
    </xf>
    <xf numFmtId="164" fontId="24" fillId="2" borderId="10" xfId="1" applyNumberFormat="1" applyFont="1" applyFill="1" applyBorder="1" applyAlignment="1" applyProtection="1">
      <alignment horizontal="right" vertical="center"/>
    </xf>
    <xf numFmtId="164" fontId="48" fillId="2" borderId="10" xfId="1" applyNumberFormat="1" applyFont="1" applyFill="1" applyBorder="1" applyAlignment="1" applyProtection="1">
      <alignment horizontal="right" vertical="center"/>
    </xf>
    <xf numFmtId="164" fontId="14" fillId="2" borderId="10" xfId="1" applyNumberFormat="1" applyFont="1" applyFill="1" applyBorder="1" applyAlignment="1" applyProtection="1">
      <alignment horizontal="right" vertical="center"/>
    </xf>
    <xf numFmtId="164" fontId="12" fillId="20" borderId="10" xfId="1" applyNumberFormat="1" applyFont="1" applyFill="1" applyBorder="1" applyAlignment="1" applyProtection="1">
      <alignment horizontal="right" vertical="center"/>
    </xf>
    <xf numFmtId="0" fontId="24" fillId="20" borderId="10" xfId="1" applyFont="1" applyFill="1" applyBorder="1" applyAlignment="1" applyProtection="1">
      <alignment horizontal="right" vertical="center"/>
    </xf>
    <xf numFmtId="164" fontId="33" fillId="0" borderId="10" xfId="1" applyNumberFormat="1" applyFont="1" applyBorder="1" applyAlignment="1" applyProtection="1">
      <alignment horizontal="right" vertical="center" wrapText="1"/>
    </xf>
    <xf numFmtId="164" fontId="12" fillId="0" borderId="10" xfId="1" applyNumberFormat="1" applyFont="1" applyBorder="1" applyAlignment="1" applyProtection="1">
      <alignment horizontal="right" vertical="center"/>
    </xf>
    <xf numFmtId="164" fontId="46" fillId="0" borderId="10" xfId="1" applyNumberFormat="1" applyFont="1" applyBorder="1" applyAlignment="1" applyProtection="1">
      <alignment horizontal="right" vertical="center" wrapText="1"/>
    </xf>
    <xf numFmtId="0" fontId="25" fillId="0" borderId="10" xfId="1" applyFont="1" applyBorder="1" applyAlignment="1" applyProtection="1">
      <alignment horizontal="right" vertical="center"/>
    </xf>
    <xf numFmtId="164" fontId="33" fillId="6" borderId="10" xfId="1" applyNumberFormat="1" applyFont="1" applyFill="1" applyBorder="1" applyAlignment="1" applyProtection="1">
      <alignment vertical="center" wrapText="1"/>
    </xf>
    <xf numFmtId="0" fontId="13" fillId="0" borderId="10" xfId="1" applyFont="1" applyBorder="1" applyAlignment="1" applyProtection="1">
      <alignment vertical="center" wrapText="1"/>
    </xf>
    <xf numFmtId="164" fontId="28" fillId="12" borderId="10" xfId="1" applyNumberFormat="1" applyFont="1" applyFill="1" applyBorder="1" applyAlignment="1" applyProtection="1">
      <alignment horizontal="center" vertical="center" wrapText="1"/>
    </xf>
    <xf numFmtId="164" fontId="45" fillId="6" borderId="10" xfId="1" applyNumberFormat="1" applyFont="1" applyFill="1" applyBorder="1" applyAlignment="1" applyProtection="1">
      <alignment vertical="center" wrapText="1"/>
    </xf>
    <xf numFmtId="164" fontId="9" fillId="26" borderId="10" xfId="1" applyNumberFormat="1" applyFont="1" applyFill="1" applyBorder="1" applyAlignment="1" applyProtection="1">
      <alignment horizontal="left" vertical="center" wrapText="1"/>
    </xf>
    <xf numFmtId="0" fontId="22" fillId="25" borderId="10" xfId="1" applyFont="1" applyFill="1" applyBorder="1" applyAlignment="1" applyProtection="1">
      <alignment horizontal="center" vertical="center" wrapText="1" readingOrder="1"/>
    </xf>
    <xf numFmtId="164" fontId="47" fillId="20" borderId="10" xfId="1" applyNumberFormat="1" applyFont="1" applyFill="1" applyBorder="1" applyAlignment="1" applyProtection="1">
      <alignment horizontal="left" vertical="center" wrapText="1"/>
    </xf>
    <xf numFmtId="164" fontId="19" fillId="0" borderId="10" xfId="1" applyNumberFormat="1" applyFont="1" applyBorder="1" applyAlignment="1" applyProtection="1">
      <alignment horizontal="right" vertical="center"/>
    </xf>
    <xf numFmtId="164" fontId="29" fillId="0" borderId="10" xfId="1" applyNumberFormat="1" applyFont="1" applyBorder="1" applyAlignment="1" applyProtection="1">
      <alignment horizontal="right" vertical="center"/>
    </xf>
    <xf numFmtId="164" fontId="29" fillId="2" borderId="10" xfId="1" applyNumberFormat="1" applyFont="1" applyFill="1" applyBorder="1" applyAlignment="1" applyProtection="1">
      <alignment horizontal="left" vertical="center" wrapText="1"/>
    </xf>
    <xf numFmtId="164" fontId="29" fillId="30" borderId="10" xfId="1" applyNumberFormat="1" applyFont="1" applyFill="1" applyBorder="1" applyAlignment="1" applyProtection="1">
      <alignment horizontal="right" vertical="center"/>
    </xf>
    <xf numFmtId="164" fontId="33" fillId="20" borderId="10" xfId="1" applyNumberFormat="1" applyFont="1" applyFill="1" applyBorder="1" applyAlignment="1" applyProtection="1">
      <alignment horizontal="right" vertical="center"/>
    </xf>
    <xf numFmtId="0" fontId="13" fillId="0" borderId="10" xfId="1" applyFont="1" applyBorder="1" applyAlignment="1" applyProtection="1">
      <alignment vertical="top" readingOrder="1"/>
    </xf>
    <xf numFmtId="164" fontId="19" fillId="2" borderId="10" xfId="1" applyNumberFormat="1" applyFont="1" applyFill="1" applyBorder="1" applyAlignment="1" applyProtection="1">
      <alignment horizontal="right" vertical="center"/>
    </xf>
    <xf numFmtId="164" fontId="12" fillId="0" borderId="10" xfId="1" applyNumberFormat="1" applyFont="1" applyBorder="1" applyAlignment="1" applyProtection="1">
      <alignment horizontal="left" vertical="center" wrapText="1"/>
    </xf>
    <xf numFmtId="0" fontId="12" fillId="2" borderId="10" xfId="1" applyFont="1" applyFill="1" applyBorder="1" applyAlignment="1" applyProtection="1">
      <alignment horizontal="left" vertical="top" wrapText="1"/>
    </xf>
    <xf numFmtId="0" fontId="40" fillId="20" borderId="10" xfId="1" applyFont="1" applyFill="1" applyBorder="1" applyAlignment="1" applyProtection="1">
      <alignment horizontal="left" vertical="top" wrapText="1"/>
    </xf>
    <xf numFmtId="0" fontId="14" fillId="2" borderId="0" xfId="1" applyFont="1" applyFill="1" applyAlignment="1" applyProtection="1">
      <alignment horizontal="right" vertical="center"/>
    </xf>
    <xf numFmtId="0" fontId="24" fillId="2" borderId="0" xfId="1" applyFont="1" applyFill="1" applyAlignment="1" applyProtection="1">
      <alignment horizontal="right" vertical="center"/>
    </xf>
    <xf numFmtId="164" fontId="12" fillId="2" borderId="0" xfId="1" applyNumberFormat="1" applyFont="1" applyFill="1" applyAlignment="1" applyProtection="1">
      <alignment horizontal="right" vertical="center"/>
    </xf>
    <xf numFmtId="164" fontId="25" fillId="2" borderId="0" xfId="1" applyNumberFormat="1" applyFont="1" applyFill="1" applyAlignment="1" applyProtection="1">
      <alignment horizontal="right" vertical="center"/>
    </xf>
    <xf numFmtId="0" fontId="40" fillId="2" borderId="0" xfId="1" applyFont="1" applyFill="1" applyAlignment="1" applyProtection="1">
      <alignment horizontal="right" vertical="center"/>
    </xf>
    <xf numFmtId="0" fontId="14" fillId="0" borderId="0" xfId="1" applyFont="1" applyFill="1" applyAlignment="1" applyProtection="1">
      <alignment horizontal="center" vertical="center" wrapText="1"/>
    </xf>
    <xf numFmtId="0" fontId="39" fillId="9" borderId="0" xfId="1" applyFont="1" applyFill="1" applyAlignment="1" applyProtection="1">
      <alignment vertical="center"/>
    </xf>
    <xf numFmtId="0" fontId="14" fillId="0" borderId="10" xfId="2" applyFont="1" applyBorder="1" applyAlignment="1" applyProtection="1">
      <alignment horizontal="center" vertical="center" wrapText="1"/>
    </xf>
    <xf numFmtId="0" fontId="14" fillId="0" borderId="10" xfId="1" applyFont="1" applyBorder="1" applyAlignment="1" applyProtection="1">
      <alignment horizontal="center" vertical="center" wrapText="1"/>
    </xf>
    <xf numFmtId="0" fontId="9" fillId="3" borderId="10"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164" fontId="14" fillId="2" borderId="10" xfId="3" applyNumberFormat="1" applyFont="1" applyFill="1" applyBorder="1" applyAlignment="1" applyProtection="1">
      <alignment horizontal="center" vertical="center" wrapText="1"/>
    </xf>
    <xf numFmtId="164" fontId="14" fillId="2" borderId="10" xfId="3" applyNumberFormat="1" applyFont="1" applyFill="1" applyBorder="1" applyAlignment="1" applyProtection="1">
      <alignment horizontal="center" vertical="center" wrapText="1"/>
    </xf>
    <xf numFmtId="164" fontId="14" fillId="0" borderId="10" xfId="3" applyNumberFormat="1" applyFont="1" applyBorder="1" applyAlignment="1" applyProtection="1">
      <alignment horizontal="center" vertical="center" wrapText="1"/>
    </xf>
    <xf numFmtId="0" fontId="9" fillId="5" borderId="10" xfId="1" applyFont="1" applyFill="1" applyBorder="1" applyAlignment="1" applyProtection="1">
      <alignment horizontal="center" vertical="center" wrapText="1"/>
    </xf>
    <xf numFmtId="0" fontId="9" fillId="5" borderId="10" xfId="1" applyFont="1" applyFill="1" applyBorder="1" applyAlignment="1" applyProtection="1">
      <alignment horizontal="center" vertical="center" wrapText="1"/>
    </xf>
    <xf numFmtId="0" fontId="14" fillId="5" borderId="10" xfId="1" applyFont="1" applyFill="1" applyBorder="1" applyAlignment="1" applyProtection="1">
      <alignment horizontal="center" vertical="center" wrapText="1"/>
    </xf>
    <xf numFmtId="0" fontId="14" fillId="7" borderId="10" xfId="1" applyFont="1" applyFill="1" applyBorder="1" applyAlignment="1" applyProtection="1">
      <alignment horizontal="center" vertical="center" wrapText="1"/>
    </xf>
    <xf numFmtId="0" fontId="28" fillId="5" borderId="10" xfId="1" applyFont="1" applyFill="1" applyBorder="1" applyAlignment="1" applyProtection="1">
      <alignment horizontal="center" vertical="center" wrapText="1"/>
    </xf>
    <xf numFmtId="164" fontId="14" fillId="7" borderId="10" xfId="3" applyNumberFormat="1" applyFont="1" applyFill="1" applyBorder="1" applyAlignment="1" applyProtection="1">
      <alignment horizontal="center" vertical="center" wrapText="1"/>
    </xf>
    <xf numFmtId="164" fontId="26" fillId="7" borderId="10" xfId="3" applyNumberFormat="1" applyFont="1" applyFill="1" applyBorder="1" applyAlignment="1" applyProtection="1">
      <alignment horizontal="center" vertical="center" wrapText="1"/>
    </xf>
    <xf numFmtId="164" fontId="14" fillId="8" borderId="10" xfId="3" applyNumberFormat="1" applyFont="1" applyFill="1" applyBorder="1" applyAlignment="1" applyProtection="1">
      <alignment horizontal="center" vertical="center" wrapText="1"/>
    </xf>
    <xf numFmtId="164" fontId="14" fillId="9" borderId="10" xfId="3" applyNumberFormat="1" applyFont="1" applyFill="1" applyBorder="1" applyAlignment="1" applyProtection="1">
      <alignment horizontal="center" vertical="center" wrapText="1"/>
    </xf>
    <xf numFmtId="0" fontId="40" fillId="3" borderId="10" xfId="2" applyFont="1" applyFill="1" applyBorder="1" applyAlignment="1" applyProtection="1">
      <alignment horizontal="center" vertical="center" wrapText="1"/>
    </xf>
    <xf numFmtId="0" fontId="40" fillId="3" borderId="10" xfId="2" applyFont="1" applyFill="1" applyBorder="1" applyAlignment="1" applyProtection="1">
      <alignment horizontal="left" vertical="center" wrapText="1"/>
    </xf>
    <xf numFmtId="0" fontId="14" fillId="24" borderId="10" xfId="1" applyFont="1" applyFill="1" applyBorder="1" applyAlignment="1" applyProtection="1">
      <alignment horizontal="left" vertical="center" wrapText="1"/>
    </xf>
    <xf numFmtId="164" fontId="14" fillId="24" borderId="10" xfId="1" applyNumberFormat="1" applyFont="1" applyFill="1" applyBorder="1" applyAlignment="1" applyProtection="1">
      <alignment horizontal="right" vertical="center" wrapText="1"/>
    </xf>
    <xf numFmtId="164" fontId="14" fillId="24" borderId="10" xfId="1" applyNumberFormat="1" applyFont="1" applyFill="1" applyBorder="1" applyAlignment="1" applyProtection="1">
      <alignment horizontal="center" vertical="center" wrapText="1"/>
    </xf>
    <xf numFmtId="164" fontId="41" fillId="24" borderId="10" xfId="1" applyNumberFormat="1" applyFont="1" applyFill="1" applyBorder="1" applyAlignment="1" applyProtection="1">
      <alignment horizontal="right" vertical="center" wrapText="1"/>
    </xf>
    <xf numFmtId="0" fontId="9" fillId="26" borderId="10" xfId="1" applyFont="1" applyFill="1" applyBorder="1" applyAlignment="1" applyProtection="1">
      <alignment vertical="center" wrapText="1"/>
    </xf>
    <xf numFmtId="0" fontId="14" fillId="26" borderId="10" xfId="1" applyFont="1" applyFill="1" applyBorder="1" applyAlignment="1" applyProtection="1">
      <alignment horizontal="left" vertical="center" wrapText="1"/>
    </xf>
    <xf numFmtId="164" fontId="12" fillId="26" borderId="10" xfId="1" applyNumberFormat="1" applyFont="1" applyFill="1" applyBorder="1" applyAlignment="1" applyProtection="1">
      <alignment horizontal="right" vertical="center" wrapText="1"/>
    </xf>
    <xf numFmtId="164" fontId="24" fillId="26" borderId="10" xfId="1" applyNumberFormat="1" applyFont="1" applyFill="1" applyBorder="1" applyAlignment="1" applyProtection="1">
      <alignment horizontal="right" vertical="center" wrapText="1"/>
    </xf>
    <xf numFmtId="164" fontId="12" fillId="26" borderId="10" xfId="1" applyNumberFormat="1" applyFont="1" applyFill="1" applyBorder="1" applyAlignment="1" applyProtection="1">
      <alignment horizontal="center" vertical="center" wrapText="1"/>
    </xf>
    <xf numFmtId="0" fontId="9" fillId="12" borderId="10" xfId="1" applyFont="1" applyFill="1" applyBorder="1" applyAlignment="1" applyProtection="1">
      <alignment vertical="center" wrapText="1"/>
    </xf>
    <xf numFmtId="0" fontId="14" fillId="12" borderId="10" xfId="1" applyFont="1" applyFill="1" applyBorder="1" applyAlignment="1" applyProtection="1">
      <alignment horizontal="left" vertical="center" wrapText="1"/>
    </xf>
    <xf numFmtId="164" fontId="14" fillId="12" borderId="10" xfId="1" applyNumberFormat="1" applyFont="1" applyFill="1" applyBorder="1" applyAlignment="1" applyProtection="1">
      <alignment horizontal="right" vertical="center" wrapText="1"/>
    </xf>
    <xf numFmtId="164" fontId="14" fillId="12" borderId="10" xfId="1" applyNumberFormat="1" applyFont="1" applyFill="1" applyBorder="1" applyAlignment="1" applyProtection="1">
      <alignment horizontal="center" vertical="center" wrapText="1"/>
    </xf>
    <xf numFmtId="164" fontId="41" fillId="12" borderId="10" xfId="1" applyNumberFormat="1" applyFont="1" applyFill="1" applyBorder="1" applyAlignment="1" applyProtection="1">
      <alignment horizontal="right" vertical="center" wrapText="1"/>
    </xf>
    <xf numFmtId="0" fontId="12" fillId="2" borderId="10" xfId="1" applyFont="1" applyFill="1" applyBorder="1" applyAlignment="1" applyProtection="1">
      <alignment vertical="top" wrapText="1" readingOrder="1"/>
    </xf>
    <xf numFmtId="0" fontId="12" fillId="2" borderId="10" xfId="1" applyFont="1" applyFill="1" applyBorder="1" applyAlignment="1" applyProtection="1">
      <alignment vertical="center"/>
    </xf>
    <xf numFmtId="164" fontId="12" fillId="18" borderId="10" xfId="1" applyNumberFormat="1" applyFont="1" applyFill="1" applyBorder="1" applyAlignment="1" applyProtection="1">
      <alignment vertical="center"/>
    </xf>
    <xf numFmtId="0" fontId="11" fillId="18" borderId="10" xfId="1" applyFont="1" applyFill="1" applyBorder="1" applyAlignment="1" applyProtection="1">
      <alignment vertical="center"/>
    </xf>
    <xf numFmtId="164" fontId="25" fillId="18" borderId="10" xfId="1" applyNumberFormat="1" applyFont="1" applyFill="1" applyBorder="1" applyAlignment="1" applyProtection="1">
      <alignment vertical="center"/>
    </xf>
    <xf numFmtId="0" fontId="12" fillId="18" borderId="10" xfId="1" applyFont="1" applyFill="1" applyBorder="1" applyAlignment="1" applyProtection="1">
      <alignment vertical="center"/>
    </xf>
    <xf numFmtId="0" fontId="40" fillId="20" borderId="10" xfId="1" applyFont="1" applyFill="1" applyBorder="1" applyAlignment="1" applyProtection="1">
      <alignment vertical="center" wrapText="1"/>
    </xf>
    <xf numFmtId="164" fontId="14" fillId="2" borderId="10" xfId="1" applyNumberFormat="1" applyFont="1" applyFill="1" applyBorder="1" applyAlignment="1" applyProtection="1">
      <alignment horizontal="right" vertical="center" wrapText="1"/>
    </xf>
    <xf numFmtId="0" fontId="12" fillId="6" borderId="10" xfId="1" applyFont="1" applyFill="1" applyBorder="1" applyAlignment="1" applyProtection="1">
      <alignment vertical="center"/>
    </xf>
    <xf numFmtId="0" fontId="12" fillId="6" borderId="10" xfId="1" applyFont="1" applyFill="1" applyBorder="1" applyAlignment="1" applyProtection="1">
      <alignment horizontal="left" vertical="top" wrapText="1"/>
    </xf>
    <xf numFmtId="0" fontId="9" fillId="0" borderId="10" xfId="1" applyFont="1" applyBorder="1" applyAlignment="1" applyProtection="1">
      <alignment vertical="center"/>
    </xf>
    <xf numFmtId="0" fontId="12" fillId="2" borderId="10" xfId="1" applyFont="1" applyFill="1" applyBorder="1" applyAlignment="1" applyProtection="1">
      <alignment horizontal="left" vertical="center"/>
    </xf>
    <xf numFmtId="0" fontId="40" fillId="20" borderId="10" xfId="1" applyFont="1" applyFill="1" applyBorder="1" applyAlignment="1" applyProtection="1">
      <alignment vertical="center"/>
    </xf>
    <xf numFmtId="0" fontId="12" fillId="6" borderId="10" xfId="1" applyFont="1" applyFill="1" applyBorder="1" applyAlignment="1" applyProtection="1">
      <alignment horizontal="left" vertical="center"/>
    </xf>
    <xf numFmtId="0" fontId="14" fillId="2" borderId="10" xfId="1" applyFont="1" applyFill="1" applyBorder="1" applyAlignment="1" applyProtection="1">
      <alignment vertical="center"/>
    </xf>
    <xf numFmtId="0" fontId="40" fillId="20" borderId="0" xfId="1" applyFont="1" applyFill="1" applyAlignment="1" applyProtection="1">
      <alignment vertical="center" wrapText="1"/>
    </xf>
    <xf numFmtId="0" fontId="9" fillId="2" borderId="10" xfId="1" applyFont="1" applyFill="1" applyBorder="1" applyAlignment="1" applyProtection="1">
      <alignment vertical="center"/>
    </xf>
    <xf numFmtId="0" fontId="12" fillId="6" borderId="10" xfId="1" applyFont="1" applyFill="1" applyBorder="1" applyAlignment="1" applyProtection="1">
      <alignment horizontal="center" vertical="center" wrapText="1"/>
    </xf>
    <xf numFmtId="0" fontId="41" fillId="20" borderId="10" xfId="1" applyFont="1" applyFill="1" applyBorder="1" applyAlignment="1" applyProtection="1">
      <alignment vertical="center"/>
    </xf>
    <xf numFmtId="0" fontId="14" fillId="27" borderId="10" xfId="1" applyFont="1" applyFill="1" applyBorder="1" applyAlignment="1" applyProtection="1">
      <alignment vertical="top" wrapText="1" readingOrder="1"/>
    </xf>
    <xf numFmtId="0" fontId="14" fillId="12" borderId="10" xfId="1" applyFont="1" applyFill="1" applyBorder="1" applyAlignment="1" applyProtection="1">
      <alignment horizontal="right" vertical="center"/>
    </xf>
    <xf numFmtId="0" fontId="14" fillId="18" borderId="10" xfId="1" applyFont="1" applyFill="1" applyBorder="1" applyAlignment="1" applyProtection="1">
      <alignment horizontal="right" vertical="center"/>
    </xf>
    <xf numFmtId="0" fontId="41" fillId="20" borderId="10" xfId="1" applyFont="1" applyFill="1" applyBorder="1" applyAlignment="1" applyProtection="1">
      <alignment horizontal="right" vertical="center"/>
    </xf>
    <xf numFmtId="0" fontId="28" fillId="12" borderId="10" xfId="1" applyFont="1" applyFill="1" applyBorder="1" applyAlignment="1" applyProtection="1">
      <alignment horizontal="right" vertical="center"/>
    </xf>
    <xf numFmtId="164" fontId="14" fillId="12" borderId="10" xfId="1" applyNumberFormat="1" applyFont="1" applyFill="1" applyBorder="1" applyAlignment="1" applyProtection="1">
      <alignment horizontal="center" vertical="center"/>
    </xf>
    <xf numFmtId="0" fontId="41" fillId="12" borderId="10" xfId="1" applyFont="1" applyFill="1" applyBorder="1" applyAlignment="1" applyProtection="1">
      <alignment horizontal="right" vertical="center"/>
    </xf>
    <xf numFmtId="0" fontId="12" fillId="0" borderId="10" xfId="1" applyFont="1" applyBorder="1" applyAlignment="1" applyProtection="1">
      <alignment vertical="center" wrapText="1"/>
    </xf>
    <xf numFmtId="0" fontId="13" fillId="0" borderId="10" xfId="1" applyFont="1" applyBorder="1" applyAlignment="1" applyProtection="1">
      <alignment vertical="top" wrapText="1" readingOrder="1"/>
    </xf>
    <xf numFmtId="0" fontId="47" fillId="18" borderId="10" xfId="1" applyFont="1" applyFill="1" applyBorder="1" applyAlignment="1" applyProtection="1">
      <alignment vertical="center"/>
    </xf>
    <xf numFmtId="0" fontId="14" fillId="25" borderId="10" xfId="1" applyFont="1" applyFill="1" applyBorder="1" applyAlignment="1" applyProtection="1">
      <alignment vertical="top" wrapText="1" readingOrder="1"/>
    </xf>
    <xf numFmtId="0" fontId="14" fillId="26" borderId="10" xfId="1" applyFont="1" applyFill="1" applyBorder="1" applyAlignment="1" applyProtection="1">
      <alignment horizontal="right" vertical="center"/>
    </xf>
    <xf numFmtId="0" fontId="28" fillId="26" borderId="10" xfId="1" applyFont="1" applyFill="1" applyBorder="1" applyAlignment="1" applyProtection="1">
      <alignment horizontal="right" vertical="center"/>
    </xf>
    <xf numFmtId="164" fontId="14" fillId="26" borderId="10" xfId="1" applyNumberFormat="1" applyFont="1" applyFill="1" applyBorder="1" applyAlignment="1" applyProtection="1">
      <alignment horizontal="center" vertical="center"/>
    </xf>
    <xf numFmtId="0" fontId="41" fillId="26" borderId="10" xfId="1" applyFont="1" applyFill="1" applyBorder="1" applyAlignment="1" applyProtection="1">
      <alignment horizontal="right" vertical="center"/>
    </xf>
    <xf numFmtId="0" fontId="14" fillId="12" borderId="10" xfId="1" applyFont="1" applyFill="1" applyBorder="1" applyAlignment="1" applyProtection="1">
      <alignment horizontal="center" vertical="center"/>
    </xf>
    <xf numFmtId="0" fontId="49" fillId="18" borderId="10" xfId="1" applyFont="1" applyFill="1" applyBorder="1" applyAlignment="1" applyProtection="1">
      <alignment vertical="center"/>
    </xf>
    <xf numFmtId="0" fontId="12" fillId="2" borderId="10" xfId="1" applyFont="1" applyFill="1" applyBorder="1" applyAlignment="1" applyProtection="1">
      <alignment vertical="top" wrapText="1"/>
    </xf>
    <xf numFmtId="0" fontId="28" fillId="18" borderId="10" xfId="1" applyFont="1" applyFill="1" applyBorder="1" applyAlignment="1" applyProtection="1">
      <alignment vertical="center"/>
    </xf>
    <xf numFmtId="164" fontId="28" fillId="18" borderId="10" xfId="1" applyNumberFormat="1" applyFont="1" applyFill="1" applyBorder="1" applyAlignment="1" applyProtection="1">
      <alignment vertical="center"/>
    </xf>
    <xf numFmtId="164" fontId="14" fillId="12" borderId="10" xfId="1" applyNumberFormat="1" applyFont="1" applyFill="1" applyBorder="1" applyAlignment="1" applyProtection="1">
      <alignment horizontal="right" vertical="center"/>
    </xf>
    <xf numFmtId="0" fontId="12" fillId="0" borderId="10" xfId="1" applyFont="1" applyBorder="1" applyAlignment="1" applyProtection="1">
      <alignment horizontal="left" vertical="center" wrapText="1"/>
    </xf>
    <xf numFmtId="0" fontId="12" fillId="0" borderId="10" xfId="1" applyFont="1" applyBorder="1" applyAlignment="1" applyProtection="1">
      <alignment horizontal="left" vertical="center"/>
    </xf>
    <xf numFmtId="0" fontId="14" fillId="0" borderId="10" xfId="1" applyFont="1" applyBorder="1" applyAlignment="1" applyProtection="1">
      <alignment vertical="center"/>
    </xf>
    <xf numFmtId="0" fontId="12" fillId="0" borderId="10" xfId="1" applyFont="1" applyBorder="1" applyAlignment="1" applyProtection="1">
      <alignment horizontal="left" vertical="top" wrapText="1"/>
    </xf>
    <xf numFmtId="0" fontId="10" fillId="18" borderId="10" xfId="1" applyFont="1" applyFill="1" applyBorder="1" applyAlignment="1" applyProtection="1">
      <alignment vertical="center"/>
    </xf>
    <xf numFmtId="0" fontId="14" fillId="26" borderId="10" xfId="1" applyFont="1" applyFill="1" applyBorder="1" applyAlignment="1" applyProtection="1">
      <alignment horizontal="center" vertical="center"/>
    </xf>
    <xf numFmtId="164" fontId="40" fillId="20" borderId="10" xfId="1" applyNumberFormat="1" applyFont="1" applyFill="1" applyBorder="1" applyAlignment="1" applyProtection="1">
      <alignment horizontal="center" vertical="center" wrapText="1"/>
    </xf>
    <xf numFmtId="0" fontId="40" fillId="20" borderId="10" xfId="1" applyFont="1" applyFill="1" applyBorder="1" applyAlignment="1" applyProtection="1">
      <alignment vertical="top" wrapText="1"/>
    </xf>
    <xf numFmtId="164" fontId="25" fillId="2" borderId="0" xfId="1" applyNumberFormat="1" applyFont="1" applyFill="1" applyAlignment="1" applyProtection="1">
      <alignment vertical="center"/>
    </xf>
    <xf numFmtId="0" fontId="40" fillId="2" borderId="0" xfId="1" applyFont="1" applyFill="1" applyAlignment="1" applyProtection="1">
      <alignment vertical="center"/>
    </xf>
  </cellXfs>
  <cellStyles count="6">
    <cellStyle name="Įprastas" xfId="0" builtinId="0"/>
    <cellStyle name="Įprastas 2" xfId="1" xr:uid="{14A8AC2C-5A3E-4103-9C03-CD84A19C3AE0}"/>
    <cellStyle name="Normal 2" xfId="2" xr:uid="{F8BD8614-688C-40C6-BC8F-454D83BD2272}"/>
    <cellStyle name="Normal_SAVAPYSsssss" xfId="4" xr:uid="{3C9BC11C-A9EB-4FD0-B342-040DC434D4AC}"/>
    <cellStyle name="Normal_Sheet1 2" xfId="3" xr:uid="{2ABDAD82-27C2-409A-9CF8-F640BE56F62C}"/>
    <cellStyle name="Procentai 2" xfId="5" xr:uid="{A06978EC-682D-48B0-B966-8EA38E7E38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29954724409448819"/>
          <c:y val="3.0686601843032475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lt-LT"/>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564102564102564E-2"/>
          <c:y val="8.41914708644005E-2"/>
          <c:w val="0.95032051282051277"/>
          <c:h val="0.74213420241655781"/>
        </c:manualLayout>
      </c:layout>
      <c:pie3DChart>
        <c:varyColors val="1"/>
        <c:ser>
          <c:idx val="7"/>
          <c:order val="0"/>
          <c:tx>
            <c:strRef>
              <c:f>'2024 m. asgnavimai iš viso'!$A$11</c:f>
              <c:strCache>
                <c:ptCount val="1"/>
              </c:strCache>
            </c:strRef>
          </c:tx>
          <c:cat>
            <c:strRef>
              <c:f>'2024 m. asgnavimai iš viso'!$B$7:$B$9</c:f>
              <c:strCache>
                <c:ptCount val="3"/>
                <c:pt idx="0">
                  <c:v>DARNAUS TERITORIJŲ IR INFRASTRUKTŪROS VYSTYMO PROGRAMA</c:v>
                </c:pt>
                <c:pt idx="1">
                  <c:v>ADMINISTRAVIMO IR VIEŠŲJŲ PASLAUGŲ TEIKIMO PROGRAMA</c:v>
                </c:pt>
                <c:pt idx="2">
                  <c:v>SUMANIOS IR PILIETIŠKOS VISUOMENĖS UGDYMO PROGRAMA</c:v>
                </c:pt>
              </c:strCache>
            </c:strRef>
          </c:cat>
          <c:val>
            <c:numRef>
              <c:f>'2024 m. asgnavimai iš viso'!$B$11:$AG$11</c:f>
            </c:numRef>
          </c:val>
          <c:extLst>
            <c:ext xmlns:c16="http://schemas.microsoft.com/office/drawing/2014/chart" uri="{C3380CC4-5D6E-409C-BE32-E72D297353CC}">
              <c16:uniqueId val="{00000007-2F23-4646-B0AC-E018F45DB2FA}"/>
            </c:ext>
          </c:extLst>
        </c:ser>
        <c:ser>
          <c:idx val="8"/>
          <c:order val="1"/>
          <c:tx>
            <c:strRef>
              <c:f>'2024 m. asgnavimai iš viso'!$A$12</c:f>
              <c:strCache>
                <c:ptCount val="1"/>
              </c:strCache>
            </c:strRef>
          </c:tx>
          <c:cat>
            <c:strRef>
              <c:f>'2024 m. asgnavimai iš viso'!$B$7:$B$9</c:f>
              <c:strCache>
                <c:ptCount val="3"/>
                <c:pt idx="0">
                  <c:v>DARNAUS TERITORIJŲ IR INFRASTRUKTŪROS VYSTYMO PROGRAMA</c:v>
                </c:pt>
                <c:pt idx="1">
                  <c:v>ADMINISTRAVIMO IR VIEŠŲJŲ PASLAUGŲ TEIKIMO PROGRAMA</c:v>
                </c:pt>
                <c:pt idx="2">
                  <c:v>SUMANIOS IR PILIETIŠKOS VISUOMENĖS UGDYMO PROGRAMA</c:v>
                </c:pt>
              </c:strCache>
            </c:strRef>
          </c:cat>
          <c:val>
            <c:numRef>
              <c:f>'2024 m. asgnavimai iš viso'!$B$12:$AG$12</c:f>
            </c:numRef>
          </c:val>
          <c:extLst>
            <c:ext xmlns:c16="http://schemas.microsoft.com/office/drawing/2014/chart" uri="{C3380CC4-5D6E-409C-BE32-E72D297353CC}">
              <c16:uniqueId val="{00000008-2F23-4646-B0AC-E018F45DB2FA}"/>
            </c:ext>
          </c:extLst>
        </c:ser>
        <c:ser>
          <c:idx val="9"/>
          <c:order val="2"/>
          <c:tx>
            <c:strRef>
              <c:f>'2024 m. asgnavimai iš viso'!$A$13</c:f>
              <c:strCache>
                <c:ptCount val="1"/>
              </c:strCache>
            </c:strRef>
          </c:tx>
          <c:cat>
            <c:strRef>
              <c:f>'2024 m. asgnavimai iš viso'!$B$7:$B$9</c:f>
              <c:strCache>
                <c:ptCount val="3"/>
                <c:pt idx="0">
                  <c:v>DARNAUS TERITORIJŲ IR INFRASTRUKTŪROS VYSTYMO PROGRAMA</c:v>
                </c:pt>
                <c:pt idx="1">
                  <c:v>ADMINISTRAVIMO IR VIEŠŲJŲ PASLAUGŲ TEIKIMO PROGRAMA</c:v>
                </c:pt>
                <c:pt idx="2">
                  <c:v>SUMANIOS IR PILIETIŠKOS VISUOMENĖS UGDYMO PROGRAMA</c:v>
                </c:pt>
              </c:strCache>
            </c:strRef>
          </c:cat>
          <c:val>
            <c:numRef>
              <c:f>'2024 m. asgnavimai iš viso'!$B$13:$AG$13</c:f>
            </c:numRef>
          </c:val>
          <c:extLst>
            <c:ext xmlns:c16="http://schemas.microsoft.com/office/drawing/2014/chart" uri="{C3380CC4-5D6E-409C-BE32-E72D297353CC}">
              <c16:uniqueId val="{00000009-2F23-4646-B0AC-E018F45DB2FA}"/>
            </c:ext>
          </c:extLst>
        </c:ser>
        <c:ser>
          <c:idx val="10"/>
          <c:order val="3"/>
          <c:tx>
            <c:strRef>
              <c:f>'2024 m. asgnavimai iš viso'!$A$14</c:f>
              <c:strCache>
                <c:ptCount val="1"/>
              </c:strCache>
            </c:strRef>
          </c:tx>
          <c:cat>
            <c:strRef>
              <c:f>'2024 m. asgnavimai iš viso'!$B$7:$B$9</c:f>
              <c:strCache>
                <c:ptCount val="3"/>
                <c:pt idx="0">
                  <c:v>DARNAUS TERITORIJŲ IR INFRASTRUKTŪROS VYSTYMO PROGRAMA</c:v>
                </c:pt>
                <c:pt idx="1">
                  <c:v>ADMINISTRAVIMO IR VIEŠŲJŲ PASLAUGŲ TEIKIMO PROGRAMA</c:v>
                </c:pt>
                <c:pt idx="2">
                  <c:v>SUMANIOS IR PILIETIŠKOS VISUOMENĖS UGDYMO PROGRAMA</c:v>
                </c:pt>
              </c:strCache>
            </c:strRef>
          </c:cat>
          <c:val>
            <c:numRef>
              <c:f>'2024 m. asgnavimai iš viso'!$B$14:$AG$14</c:f>
            </c:numRef>
          </c:val>
          <c:extLst>
            <c:ext xmlns:c16="http://schemas.microsoft.com/office/drawing/2014/chart" uri="{C3380CC4-5D6E-409C-BE32-E72D297353CC}">
              <c16:uniqueId val="{0000000A-2F23-4646-B0AC-E018F45DB2FA}"/>
            </c:ext>
          </c:extLst>
        </c:ser>
        <c:ser>
          <c:idx val="11"/>
          <c:order val="4"/>
          <c:tx>
            <c:strRef>
              <c:f>'2024 m. asgnavimai iš viso'!$A$15</c:f>
              <c:strCache>
                <c:ptCount val="1"/>
              </c:strCache>
            </c:strRef>
          </c:tx>
          <c:cat>
            <c:strRef>
              <c:f>'2024 m. asgnavimai iš viso'!$B$7:$B$9</c:f>
              <c:strCache>
                <c:ptCount val="3"/>
                <c:pt idx="0">
                  <c:v>DARNAUS TERITORIJŲ IR INFRASTRUKTŪROS VYSTYMO PROGRAMA</c:v>
                </c:pt>
                <c:pt idx="1">
                  <c:v>ADMINISTRAVIMO IR VIEŠŲJŲ PASLAUGŲ TEIKIMO PROGRAMA</c:v>
                </c:pt>
                <c:pt idx="2">
                  <c:v>SUMANIOS IR PILIETIŠKOS VISUOMENĖS UGDYMO PROGRAMA</c:v>
                </c:pt>
              </c:strCache>
            </c:strRef>
          </c:cat>
          <c:val>
            <c:numRef>
              <c:f>'2024 m. asgnavimai iš viso'!$B$15:$AG$15</c:f>
            </c:numRef>
          </c:val>
          <c:extLst>
            <c:ext xmlns:c16="http://schemas.microsoft.com/office/drawing/2014/chart" uri="{C3380CC4-5D6E-409C-BE32-E72D297353CC}">
              <c16:uniqueId val="{0000000B-2F23-4646-B0AC-E018F45DB2FA}"/>
            </c:ext>
          </c:extLst>
        </c:ser>
        <c:ser>
          <c:idx val="12"/>
          <c:order val="5"/>
          <c:tx>
            <c:strRef>
              <c:f>'2024 m. asgnavimai iš viso'!$A$16</c:f>
              <c:strCache>
                <c:ptCount val="1"/>
              </c:strCache>
            </c:strRef>
          </c:tx>
          <c:cat>
            <c:strRef>
              <c:f>'2024 m. asgnavimai iš viso'!$B$7:$B$9</c:f>
              <c:strCache>
                <c:ptCount val="3"/>
                <c:pt idx="0">
                  <c:v>DARNAUS TERITORIJŲ IR INFRASTRUKTŪROS VYSTYMO PROGRAMA</c:v>
                </c:pt>
                <c:pt idx="1">
                  <c:v>ADMINISTRAVIMO IR VIEŠŲJŲ PASLAUGŲ TEIKIMO PROGRAMA</c:v>
                </c:pt>
                <c:pt idx="2">
                  <c:v>SUMANIOS IR PILIETIŠKOS VISUOMENĖS UGDYMO PROGRAMA</c:v>
                </c:pt>
              </c:strCache>
            </c:strRef>
          </c:cat>
          <c:val>
            <c:numRef>
              <c:f>'2024 m. asgnavimai iš viso'!$B$16:$AG$16</c:f>
            </c:numRef>
          </c:val>
          <c:extLst>
            <c:ext xmlns:c16="http://schemas.microsoft.com/office/drawing/2014/chart" uri="{C3380CC4-5D6E-409C-BE32-E72D297353CC}">
              <c16:uniqueId val="{0000000C-2F23-4646-B0AC-E018F45DB2FA}"/>
            </c:ext>
          </c:extLst>
        </c:ser>
        <c:ser>
          <c:idx val="13"/>
          <c:order val="6"/>
          <c:tx>
            <c:strRef>
              <c:f>'2024 m. asgnavimai iš viso'!$A$17</c:f>
              <c:strCache>
                <c:ptCount val="1"/>
              </c:strCache>
            </c:strRef>
          </c:tx>
          <c:cat>
            <c:strRef>
              <c:f>'2024 m. asgnavimai iš viso'!$B$7:$B$9</c:f>
              <c:strCache>
                <c:ptCount val="3"/>
                <c:pt idx="0">
                  <c:v>DARNAUS TERITORIJŲ IR INFRASTRUKTŪROS VYSTYMO PROGRAMA</c:v>
                </c:pt>
                <c:pt idx="1">
                  <c:v>ADMINISTRAVIMO IR VIEŠŲJŲ PASLAUGŲ TEIKIMO PROGRAMA</c:v>
                </c:pt>
                <c:pt idx="2">
                  <c:v>SUMANIOS IR PILIETIŠKOS VISUOMENĖS UGDYMO PROGRAMA</c:v>
                </c:pt>
              </c:strCache>
            </c:strRef>
          </c:cat>
          <c:val>
            <c:numRef>
              <c:f>'2024 m. asgnavimai iš viso'!$B$17:$AG$17</c:f>
            </c:numRef>
          </c:val>
          <c:extLst>
            <c:ext xmlns:c16="http://schemas.microsoft.com/office/drawing/2014/chart" uri="{C3380CC4-5D6E-409C-BE32-E72D297353CC}">
              <c16:uniqueId val="{0000000D-2F23-4646-B0AC-E018F45DB2FA}"/>
            </c:ext>
          </c:extLst>
        </c:ser>
        <c:ser>
          <c:idx val="14"/>
          <c:order val="7"/>
          <c:tx>
            <c:strRef>
              <c:f>'2024 m. asgnavimai iš viso'!$A$18</c:f>
              <c:strCache>
                <c:ptCount val="1"/>
              </c:strCache>
            </c:strRef>
          </c:tx>
          <c:cat>
            <c:strRef>
              <c:f>'2024 m. asgnavimai iš viso'!$B$7:$B$9</c:f>
              <c:strCache>
                <c:ptCount val="3"/>
                <c:pt idx="0">
                  <c:v>DARNAUS TERITORIJŲ IR INFRASTRUKTŪROS VYSTYMO PROGRAMA</c:v>
                </c:pt>
                <c:pt idx="1">
                  <c:v>ADMINISTRAVIMO IR VIEŠŲJŲ PASLAUGŲ TEIKIMO PROGRAMA</c:v>
                </c:pt>
                <c:pt idx="2">
                  <c:v>SUMANIOS IR PILIETIŠKOS VISUOMENĖS UGDYMO PROGRAMA</c:v>
                </c:pt>
              </c:strCache>
            </c:strRef>
          </c:cat>
          <c:val>
            <c:numRef>
              <c:f>'2024 m. asgnavimai iš viso'!$B$18:$AG$18</c:f>
            </c:numRef>
          </c:val>
          <c:extLst>
            <c:ext xmlns:c16="http://schemas.microsoft.com/office/drawing/2014/chart" uri="{C3380CC4-5D6E-409C-BE32-E72D297353CC}">
              <c16:uniqueId val="{0000000E-2F23-4646-B0AC-E018F45DB2FA}"/>
            </c:ext>
          </c:extLst>
        </c:ser>
        <c:ser>
          <c:idx val="15"/>
          <c:order val="8"/>
          <c:tx>
            <c:strRef>
              <c:f>'2024 m. asgnavimai iš viso'!$A$19</c:f>
              <c:strCache>
                <c:ptCount val="1"/>
              </c:strCache>
            </c:strRef>
          </c:tx>
          <c:cat>
            <c:strRef>
              <c:f>'2024 m. asgnavimai iš viso'!$B$7:$B$9</c:f>
              <c:strCache>
                <c:ptCount val="3"/>
                <c:pt idx="0">
                  <c:v>DARNAUS TERITORIJŲ IR INFRASTRUKTŪROS VYSTYMO PROGRAMA</c:v>
                </c:pt>
                <c:pt idx="1">
                  <c:v>ADMINISTRAVIMO IR VIEŠŲJŲ PASLAUGŲ TEIKIMO PROGRAMA</c:v>
                </c:pt>
                <c:pt idx="2">
                  <c:v>SUMANIOS IR PILIETIŠKOS VISUOMENĖS UGDYMO PROGRAMA</c:v>
                </c:pt>
              </c:strCache>
            </c:strRef>
          </c:cat>
          <c:val>
            <c:numRef>
              <c:f>'2024 m. asgnavimai iš viso'!$B$19:$AG$19</c:f>
            </c:numRef>
          </c:val>
          <c:extLst>
            <c:ext xmlns:c16="http://schemas.microsoft.com/office/drawing/2014/chart" uri="{C3380CC4-5D6E-409C-BE32-E72D297353CC}">
              <c16:uniqueId val="{0000000F-2F23-4646-B0AC-E018F45DB2FA}"/>
            </c:ext>
          </c:extLst>
        </c:ser>
        <c:ser>
          <c:idx val="16"/>
          <c:order val="9"/>
          <c:tx>
            <c:strRef>
              <c:f>'2024 m. asgnavimai iš viso'!$A$20</c:f>
              <c:strCache>
                <c:ptCount val="1"/>
              </c:strCache>
            </c:strRef>
          </c:tx>
          <c:cat>
            <c:strRef>
              <c:f>'2024 m. asgnavimai iš viso'!$B$7:$B$9</c:f>
              <c:strCache>
                <c:ptCount val="3"/>
                <c:pt idx="0">
                  <c:v>DARNAUS TERITORIJŲ IR INFRASTRUKTŪROS VYSTYMO PROGRAMA</c:v>
                </c:pt>
                <c:pt idx="1">
                  <c:v>ADMINISTRAVIMO IR VIEŠŲJŲ PASLAUGŲ TEIKIMO PROGRAMA</c:v>
                </c:pt>
                <c:pt idx="2">
                  <c:v>SUMANIOS IR PILIETIŠKOS VISUOMENĖS UGDYMO PROGRAMA</c:v>
                </c:pt>
              </c:strCache>
            </c:strRef>
          </c:cat>
          <c:val>
            <c:numRef>
              <c:f>'2024 m. asgnavimai iš viso'!$B$20:$AG$20</c:f>
            </c:numRef>
          </c:val>
          <c:extLst>
            <c:ext xmlns:c16="http://schemas.microsoft.com/office/drawing/2014/chart" uri="{C3380CC4-5D6E-409C-BE32-E72D297353CC}">
              <c16:uniqueId val="{00000010-2F23-4646-B0AC-E018F45DB2FA}"/>
            </c:ext>
          </c:extLst>
        </c:ser>
        <c:ser>
          <c:idx val="17"/>
          <c:order val="10"/>
          <c:tx>
            <c:strRef>
              <c:f>'2024 m. asgnavimai iš viso'!$A$21</c:f>
              <c:strCache>
                <c:ptCount val="1"/>
              </c:strCache>
            </c:strRef>
          </c:tx>
          <c:cat>
            <c:strRef>
              <c:f>'2024 m. asgnavimai iš viso'!$B$7:$B$9</c:f>
              <c:strCache>
                <c:ptCount val="3"/>
                <c:pt idx="0">
                  <c:v>DARNAUS TERITORIJŲ IR INFRASTRUKTŪROS VYSTYMO PROGRAMA</c:v>
                </c:pt>
                <c:pt idx="1">
                  <c:v>ADMINISTRAVIMO IR VIEŠŲJŲ PASLAUGŲ TEIKIMO PROGRAMA</c:v>
                </c:pt>
                <c:pt idx="2">
                  <c:v>SUMANIOS IR PILIETIŠKOS VISUOMENĖS UGDYMO PROGRAMA</c:v>
                </c:pt>
              </c:strCache>
            </c:strRef>
          </c:cat>
          <c:val>
            <c:numRef>
              <c:f>'2024 m. asgnavimai iš viso'!$B$21:$AG$21</c:f>
            </c:numRef>
          </c:val>
          <c:extLst>
            <c:ext xmlns:c16="http://schemas.microsoft.com/office/drawing/2014/chart" uri="{C3380CC4-5D6E-409C-BE32-E72D297353CC}">
              <c16:uniqueId val="{00000011-2F23-4646-B0AC-E018F45DB2FA}"/>
            </c:ext>
          </c:extLst>
        </c:ser>
        <c:ser>
          <c:idx val="18"/>
          <c:order val="11"/>
          <c:tx>
            <c:strRef>
              <c:f>'2024 m. asgnavimai iš viso'!$A$22</c:f>
              <c:strCache>
                <c:ptCount val="1"/>
              </c:strCache>
            </c:strRef>
          </c:tx>
          <c:cat>
            <c:strRef>
              <c:f>'2024 m. asgnavimai iš viso'!$B$7:$B$9</c:f>
              <c:strCache>
                <c:ptCount val="3"/>
                <c:pt idx="0">
                  <c:v>DARNAUS TERITORIJŲ IR INFRASTRUKTŪROS VYSTYMO PROGRAMA</c:v>
                </c:pt>
                <c:pt idx="1">
                  <c:v>ADMINISTRAVIMO IR VIEŠŲJŲ PASLAUGŲ TEIKIMO PROGRAMA</c:v>
                </c:pt>
                <c:pt idx="2">
                  <c:v>SUMANIOS IR PILIETIŠKOS VISUOMENĖS UGDYMO PROGRAMA</c:v>
                </c:pt>
              </c:strCache>
            </c:strRef>
          </c:cat>
          <c:val>
            <c:numRef>
              <c:f>'2024 m. asgnavimai iš viso'!$B$22:$AG$22</c:f>
            </c:numRef>
          </c:val>
          <c:extLst>
            <c:ext xmlns:c16="http://schemas.microsoft.com/office/drawing/2014/chart" uri="{C3380CC4-5D6E-409C-BE32-E72D297353CC}">
              <c16:uniqueId val="{00000012-2F23-4646-B0AC-E018F45DB2FA}"/>
            </c:ext>
          </c:extLst>
        </c:ser>
        <c:ser>
          <c:idx val="19"/>
          <c:order val="12"/>
          <c:tx>
            <c:strRef>
              <c:f>'2024 m. asgnavimai iš viso'!$A$23</c:f>
              <c:strCache>
                <c:ptCount val="1"/>
              </c:strCache>
            </c:strRef>
          </c:tx>
          <c:cat>
            <c:strRef>
              <c:f>'2024 m. asgnavimai iš viso'!$B$7:$B$9</c:f>
              <c:strCache>
                <c:ptCount val="3"/>
                <c:pt idx="0">
                  <c:v>DARNAUS TERITORIJŲ IR INFRASTRUKTŪROS VYSTYMO PROGRAMA</c:v>
                </c:pt>
                <c:pt idx="1">
                  <c:v>ADMINISTRAVIMO IR VIEŠŲJŲ PASLAUGŲ TEIKIMO PROGRAMA</c:v>
                </c:pt>
                <c:pt idx="2">
                  <c:v>SUMANIOS IR PILIETIŠKOS VISUOMENĖS UGDYMO PROGRAMA</c:v>
                </c:pt>
              </c:strCache>
            </c:strRef>
          </c:cat>
          <c:val>
            <c:numRef>
              <c:f>'2024 m. asgnavimai iš viso'!$B$23:$AG$23</c:f>
            </c:numRef>
          </c:val>
          <c:extLst>
            <c:ext xmlns:c16="http://schemas.microsoft.com/office/drawing/2014/chart" uri="{C3380CC4-5D6E-409C-BE32-E72D297353CC}">
              <c16:uniqueId val="{00000013-2F23-4646-B0AC-E018F45DB2FA}"/>
            </c:ext>
          </c:extLst>
        </c:ser>
        <c:ser>
          <c:idx val="20"/>
          <c:order val="13"/>
          <c:tx>
            <c:strRef>
              <c:f>'2024 m. asgnavimai iš viso'!$A$24</c:f>
              <c:strCache>
                <c:ptCount val="1"/>
              </c:strCache>
            </c:strRef>
          </c:tx>
          <c:cat>
            <c:strRef>
              <c:f>'2024 m. asgnavimai iš viso'!$B$7:$B$9</c:f>
              <c:strCache>
                <c:ptCount val="3"/>
                <c:pt idx="0">
                  <c:v>DARNAUS TERITORIJŲ IR INFRASTRUKTŪROS VYSTYMO PROGRAMA</c:v>
                </c:pt>
                <c:pt idx="1">
                  <c:v>ADMINISTRAVIMO IR VIEŠŲJŲ PASLAUGŲ TEIKIMO PROGRAMA</c:v>
                </c:pt>
                <c:pt idx="2">
                  <c:v>SUMANIOS IR PILIETIŠKOS VISUOMENĖS UGDYMO PROGRAMA</c:v>
                </c:pt>
              </c:strCache>
            </c:strRef>
          </c:cat>
          <c:val>
            <c:numRef>
              <c:f>'2024 m. asgnavimai iš viso'!$B$24:$AG$24</c:f>
            </c:numRef>
          </c:val>
          <c:extLst>
            <c:ext xmlns:c16="http://schemas.microsoft.com/office/drawing/2014/chart" uri="{C3380CC4-5D6E-409C-BE32-E72D297353CC}">
              <c16:uniqueId val="{00000014-2F23-4646-B0AC-E018F45DB2FA}"/>
            </c:ext>
          </c:extLst>
        </c:ser>
        <c:ser>
          <c:idx val="21"/>
          <c:order val="14"/>
          <c:tx>
            <c:strRef>
              <c:f>'2024 m. asgnavimai iš viso'!$A$25</c:f>
              <c:strCache>
                <c:ptCount val="1"/>
              </c:strCache>
            </c:strRef>
          </c:tx>
          <c:cat>
            <c:strRef>
              <c:f>'2024 m. asgnavimai iš viso'!$B$7:$B$9</c:f>
              <c:strCache>
                <c:ptCount val="3"/>
                <c:pt idx="0">
                  <c:v>DARNAUS TERITORIJŲ IR INFRASTRUKTŪROS VYSTYMO PROGRAMA</c:v>
                </c:pt>
                <c:pt idx="1">
                  <c:v>ADMINISTRAVIMO IR VIEŠŲJŲ PASLAUGŲ TEIKIMO PROGRAMA</c:v>
                </c:pt>
                <c:pt idx="2">
                  <c:v>SUMANIOS IR PILIETIŠKOS VISUOMENĖS UGDYMO PROGRAMA</c:v>
                </c:pt>
              </c:strCache>
            </c:strRef>
          </c:cat>
          <c:val>
            <c:numRef>
              <c:f>'2024 m. asgnavimai iš viso'!$B$25:$AG$25</c:f>
            </c:numRef>
          </c:val>
          <c:extLst>
            <c:ext xmlns:c16="http://schemas.microsoft.com/office/drawing/2014/chart" uri="{C3380CC4-5D6E-409C-BE32-E72D297353CC}">
              <c16:uniqueId val="{00000015-2F23-4646-B0AC-E018F45DB2FA}"/>
            </c:ext>
          </c:extLst>
        </c:ser>
        <c:ser>
          <c:idx val="0"/>
          <c:order val="15"/>
          <c:tx>
            <c:strRef>
              <c:f>'2024 m. asgnavimai iš viso'!$B$1:$AF$1</c:f>
              <c:strCache>
                <c:ptCount val="31"/>
                <c:pt idx="0">
                  <c:v>2024 m. asignavimai programoms  vykdyti</c:v>
                </c:pt>
              </c:strCache>
            </c:strRef>
          </c:tx>
          <c:spPr>
            <a:ln w="3175">
              <a:solidFill>
                <a:schemeClr val="tx1">
                  <a:lumMod val="95000"/>
                  <a:lumOff val="5000"/>
                </a:schemeClr>
              </a:solidFill>
            </a:ln>
          </c:spPr>
          <c:dPt>
            <c:idx val="0"/>
            <c:bubble3D val="0"/>
            <c:explosion val="4"/>
            <c:spPr>
              <a:solidFill>
                <a:schemeClr val="accent1">
                  <a:lumMod val="60000"/>
                  <a:lumOff val="40000"/>
                </a:schemeClr>
              </a:solidFill>
              <a:ln w="3175">
                <a:solidFill>
                  <a:schemeClr val="tx1">
                    <a:lumMod val="95000"/>
                    <a:lumOff val="5000"/>
                  </a:schemeClr>
                </a:solidFill>
              </a:ln>
              <a:effectLst/>
              <a:sp3d contourW="3175">
                <a:contourClr>
                  <a:schemeClr val="tx1">
                    <a:lumMod val="95000"/>
                    <a:lumOff val="5000"/>
                  </a:schemeClr>
                </a:contourClr>
              </a:sp3d>
            </c:spPr>
            <c:extLst>
              <c:ext xmlns:c16="http://schemas.microsoft.com/office/drawing/2014/chart" uri="{C3380CC4-5D6E-409C-BE32-E72D297353CC}">
                <c16:uniqueId val="{00000019-2F23-4646-B0AC-E018F45DB2FA}"/>
              </c:ext>
            </c:extLst>
          </c:dPt>
          <c:dPt>
            <c:idx val="1"/>
            <c:bubble3D val="0"/>
            <c:explosion val="3"/>
            <c:spPr>
              <a:solidFill>
                <a:schemeClr val="accent6">
                  <a:lumMod val="60000"/>
                  <a:lumOff val="40000"/>
                </a:schemeClr>
              </a:solidFill>
              <a:ln w="3175">
                <a:solidFill>
                  <a:schemeClr val="tx1">
                    <a:lumMod val="95000"/>
                    <a:lumOff val="5000"/>
                  </a:schemeClr>
                </a:solidFill>
              </a:ln>
              <a:effectLst/>
              <a:sp3d contourW="3175">
                <a:contourClr>
                  <a:schemeClr val="tx1">
                    <a:lumMod val="95000"/>
                    <a:lumOff val="5000"/>
                  </a:schemeClr>
                </a:contourClr>
              </a:sp3d>
            </c:spPr>
            <c:extLst>
              <c:ext xmlns:c16="http://schemas.microsoft.com/office/drawing/2014/chart" uri="{C3380CC4-5D6E-409C-BE32-E72D297353CC}">
                <c16:uniqueId val="{00000018-2F23-4646-B0AC-E018F45DB2FA}"/>
              </c:ext>
            </c:extLst>
          </c:dPt>
          <c:dPt>
            <c:idx val="2"/>
            <c:bubble3D val="0"/>
            <c:spPr>
              <a:solidFill>
                <a:schemeClr val="accent4">
                  <a:lumMod val="40000"/>
                  <a:lumOff val="60000"/>
                </a:schemeClr>
              </a:solidFill>
              <a:ln w="3175">
                <a:solidFill>
                  <a:schemeClr val="tx1">
                    <a:lumMod val="95000"/>
                    <a:lumOff val="5000"/>
                  </a:schemeClr>
                </a:solidFill>
              </a:ln>
              <a:effectLst/>
              <a:sp3d contourW="3175">
                <a:contourClr>
                  <a:schemeClr val="tx1">
                    <a:lumMod val="95000"/>
                    <a:lumOff val="5000"/>
                  </a:schemeClr>
                </a:contourClr>
              </a:sp3d>
            </c:spPr>
            <c:extLst>
              <c:ext xmlns:c16="http://schemas.microsoft.com/office/drawing/2014/chart" uri="{C3380CC4-5D6E-409C-BE32-E72D297353CC}">
                <c16:uniqueId val="{00000017-2F23-4646-B0AC-E018F45DB2FA}"/>
              </c:ext>
            </c:extLst>
          </c:dPt>
          <c:dLbls>
            <c:dLbl>
              <c:idx val="0"/>
              <c:layout>
                <c:manualLayout>
                  <c:x val="-0.16716813042600445"/>
                  <c:y val="9.5032781506079092E-2"/>
                </c:manualLayout>
              </c:layout>
              <c:tx>
                <c:rich>
                  <a:bodyPr/>
                  <a:lstStyle/>
                  <a:p>
                    <a:fld id="{D5BD0E29-27CE-47B7-A7AA-F06BD83A8723}" type="VALUE">
                      <a:rPr lang="en-US" sz="1600"/>
                      <a:pPr/>
                      <a:t>[REIKŠMĖ]</a:t>
                    </a:fld>
                    <a:r>
                      <a:rPr lang="en-US" sz="1600"/>
                      <a:t> (23,52%)</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9-2F23-4646-B0AC-E018F45DB2FA}"/>
                </c:ext>
              </c:extLst>
            </c:dLbl>
            <c:dLbl>
              <c:idx val="1"/>
              <c:layout>
                <c:manualLayout>
                  <c:x val="-0.21376211387038171"/>
                  <c:y val="-0.24346145835296551"/>
                </c:manualLayout>
              </c:layout>
              <c:tx>
                <c:rich>
                  <a:bodyPr/>
                  <a:lstStyle/>
                  <a:p>
                    <a:fld id="{34723B78-4FAD-4091-BD52-A58C29C2E358}" type="VALUE">
                      <a:rPr lang="en-US" sz="1600"/>
                      <a:pPr/>
                      <a:t>[REIKŠMĖ]</a:t>
                    </a:fld>
                    <a:r>
                      <a:rPr lang="en-US" sz="1600"/>
                      <a:t> (24,68%)</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8-2F23-4646-B0AC-E018F45DB2FA}"/>
                </c:ext>
              </c:extLst>
            </c:dLbl>
            <c:dLbl>
              <c:idx val="2"/>
              <c:layout>
                <c:manualLayout>
                  <c:x val="0.27136482939632545"/>
                  <c:y val="-0.12523178049462935"/>
                </c:manualLayout>
              </c:layout>
              <c:tx>
                <c:rich>
                  <a:bodyPr/>
                  <a:lstStyle/>
                  <a:p>
                    <a:fld id="{3C95F0BC-B08F-41CD-92C7-F4AB4E5A9CA8}" type="VALUE">
                      <a:rPr lang="en-US" sz="1600" b="1"/>
                      <a:pPr/>
                      <a:t>[REIKŠMĖ]</a:t>
                    </a:fld>
                    <a:r>
                      <a:rPr lang="en-US" sz="1600" b="1"/>
                      <a:t> (51,81%)</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7-2F23-4646-B0AC-E018F45DB2F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lt-LT"/>
              </a:p>
            </c:txPr>
            <c:showLegendKey val="0"/>
            <c:showVal val="0"/>
            <c:showCatName val="0"/>
            <c:showSerName val="0"/>
            <c:showPercent val="0"/>
            <c:showBubbleSize val="0"/>
            <c:extLst>
              <c:ext xmlns:c15="http://schemas.microsoft.com/office/drawing/2012/chart" uri="{CE6537A1-D6FC-4f65-9D91-7224C49458BB}"/>
            </c:extLst>
          </c:dLbls>
          <c:cat>
            <c:strRef>
              <c:f>'2024 m. asgnavimai iš viso'!$B$7:$B$9</c:f>
              <c:strCache>
                <c:ptCount val="3"/>
                <c:pt idx="0">
                  <c:v>DARNAUS TERITORIJŲ IR INFRASTRUKTŪROS VYSTYMO PROGRAMA</c:v>
                </c:pt>
                <c:pt idx="1">
                  <c:v>ADMINISTRAVIMO IR VIEŠŲJŲ PASLAUGŲ TEIKIMO PROGRAMA</c:v>
                </c:pt>
                <c:pt idx="2">
                  <c:v>SUMANIOS IR PILIETIŠKOS VISUOMENĖS UGDYMO PROGRAMA</c:v>
                </c:pt>
              </c:strCache>
            </c:strRef>
          </c:cat>
          <c:val>
            <c:numRef>
              <c:f>'2024 m. asgnavimai iš viso'!$Z$7:$Z$9</c:f>
              <c:numCache>
                <c:formatCode>#\ ##0.0</c:formatCode>
                <c:ptCount val="3"/>
                <c:pt idx="0">
                  <c:v>24216.300000000003</c:v>
                </c:pt>
                <c:pt idx="1">
                  <c:v>25411.7</c:v>
                </c:pt>
                <c:pt idx="2">
                  <c:v>53347.000000000022</c:v>
                </c:pt>
              </c:numCache>
            </c:numRef>
          </c:val>
          <c:extLst>
            <c:ext xmlns:c16="http://schemas.microsoft.com/office/drawing/2014/chart" uri="{C3380CC4-5D6E-409C-BE32-E72D297353CC}">
              <c16:uniqueId val="{00000016-2F23-4646-B0AC-E018F45DB2FA}"/>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1.0596229557843735E-2"/>
          <c:y val="0.85857439229655153"/>
          <c:w val="0.98682036139713303"/>
          <c:h val="0.12164821362900718"/>
        </c:manualLayout>
      </c:layout>
      <c:overlay val="0"/>
      <c:spPr>
        <a:noFill/>
        <a:ln>
          <a:noFill/>
        </a:ln>
        <a:effectLst/>
      </c:spPr>
      <c:txPr>
        <a:bodyPr rot="0" spcFirstLastPara="1" vertOverflow="ellipsis" vert="horz" wrap="square" anchor="ctr" anchorCtr="1"/>
        <a:lstStyle/>
        <a:p>
          <a:pPr rtl="0">
            <a:defRPr sz="1050" b="0" i="0" u="none" strike="noStrike" kern="1200" baseline="0">
              <a:solidFill>
                <a:schemeClr val="tx1">
                  <a:lumMod val="65000"/>
                  <a:lumOff val="35000"/>
                </a:schemeClr>
              </a:solidFill>
              <a:latin typeface="+mn-lt"/>
              <a:ea typeface="+mn-ea"/>
              <a:cs typeface="+mn-cs"/>
            </a:defRPr>
          </a:pPr>
          <a:endParaRPr lang="lt-L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t-L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217170</xdr:colOff>
      <xdr:row>28</xdr:row>
      <xdr:rowOff>85725</xdr:rowOff>
    </xdr:from>
    <xdr:to>
      <xdr:col>11</xdr:col>
      <xdr:colOff>322085</xdr:colOff>
      <xdr:row>28</xdr:row>
      <xdr:rowOff>85726</xdr:rowOff>
    </xdr:to>
    <xdr:cxnSp macro="">
      <xdr:nvCxnSpPr>
        <xdr:cNvPr id="2" name="Tiesioji rodyklės jungtis 1">
          <a:extLst>
            <a:ext uri="{FF2B5EF4-FFF2-40B4-BE49-F238E27FC236}">
              <a16:creationId xmlns:a16="http://schemas.microsoft.com/office/drawing/2014/main" id="{4BD6ACBD-E5BD-49B5-83E1-BC4CBF9BA5EF}"/>
            </a:ext>
          </a:extLst>
        </xdr:cNvPr>
        <xdr:cNvCxnSpPr/>
      </xdr:nvCxnSpPr>
      <xdr:spPr>
        <a:xfrm flipV="1">
          <a:off x="7153275" y="3105150"/>
          <a:ext cx="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219075</xdr:colOff>
      <xdr:row>43</xdr:row>
      <xdr:rowOff>147636</xdr:rowOff>
    </xdr:from>
    <xdr:to>
      <xdr:col>25</xdr:col>
      <xdr:colOff>990600</xdr:colOff>
      <xdr:row>64</xdr:row>
      <xdr:rowOff>85725</xdr:rowOff>
    </xdr:to>
    <xdr:graphicFrame macro="">
      <xdr:nvGraphicFramePr>
        <xdr:cNvPr id="3" name="Diagrama 2">
          <a:extLst>
            <a:ext uri="{FF2B5EF4-FFF2-40B4-BE49-F238E27FC236}">
              <a16:creationId xmlns:a16="http://schemas.microsoft.com/office/drawing/2014/main" id="{DDFF78A6-682D-F404-6F75-B7335C2BAE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vaiksnoras\Desktop\Biud&#382;etas%202024\2024%20m.%20Biud&#382;etas%20vedamas%20su%20MAX%20su%2010%20m&#279;n%20DU%20ir%20KOMU%20balansuotas.xlsx" TargetMode="External"/><Relationship Id="rId1" Type="http://schemas.openxmlformats.org/officeDocument/2006/relationships/externalLinkPath" Target="2024%20m.%20Biud&#382;etas%20vedamas%20su%20MAX%20su%2010%20m&#279;n%20DU%20ir%20KOMU%20balansuotas.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m.vaiksnoras\AppData\Local\Microsoft\Windows\INetCache\Content.Outlook\457EDC2P\2023%20m.-BIUDZETO%20PROJEKTAS-viesinimas%20(003).xlsx" TargetMode="External"/><Relationship Id="rId1" Type="http://schemas.openxmlformats.org/officeDocument/2006/relationships/externalLinkPath" Target="/Users/m.vaiksnoras/AppData/Local/Microsoft/Windows/INetCache/Content.Outlook/457EDC2P/2023%20m.-BIUDZETO%20PROJEKTAS-viesinimas%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2 m. pajamos"/>
      <sheetName val="demograf. rodikl."/>
      <sheetName val="proc"/>
      <sheetName val="Įstat. pokyčiai 2024 m"/>
      <sheetName val="įstaigu por. DU del TA"/>
      <sheetName val="komunal-kainu didej."/>
      <sheetName val="2024 -2023 paj trumpa"/>
      <sheetName val="paj analize 2024-2023"/>
      <sheetName val="2021 paj"/>
      <sheetName val="Kontroliniai dydžiai "/>
      <sheetName val="2024 m paj"/>
      <sheetName val="2024 m. asgnavimai iš viso"/>
      <sheetName val="31 pr.2024"/>
      <sheetName val="32 pr.2024"/>
      <sheetName val="33 pr.2023"/>
      <sheetName val="24 programa"/>
      <sheetName val=" 25 programa"/>
      <sheetName val="26 programa"/>
      <sheetName val="27 programa"/>
      <sheetName val="28 programa"/>
      <sheetName val="29 programa"/>
      <sheetName val="30 programa"/>
      <sheetName val="islaidu diagramos"/>
      <sheetName val="Lapas1"/>
      <sheetName val="Lapas3"/>
    </sheetNames>
    <sheetDataSet>
      <sheetData sheetId="0"/>
      <sheetData sheetId="1"/>
      <sheetData sheetId="2"/>
      <sheetData sheetId="3"/>
      <sheetData sheetId="4"/>
      <sheetData sheetId="5"/>
      <sheetData sheetId="6"/>
      <sheetData sheetId="7"/>
      <sheetData sheetId="8"/>
      <sheetData sheetId="9">
        <row r="5">
          <cell r="Q5">
            <v>13432.864610000001</v>
          </cell>
        </row>
        <row r="6">
          <cell r="Q6">
            <v>14539.037340000001</v>
          </cell>
        </row>
        <row r="7">
          <cell r="Q7">
            <v>23957.662499999999</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2 m. pajamos"/>
      <sheetName val="demograf. rodikl."/>
      <sheetName val="proc"/>
      <sheetName val="Įstat. pokyčiai 2023 m"/>
      <sheetName val="įstaigu por. DU del TA"/>
      <sheetName val="komunal-kainu didej."/>
      <sheetName val="2023 -2022 paj trumpa"/>
      <sheetName val="paj analize 2023-2022"/>
      <sheetName val="2021 paj"/>
      <sheetName val="Kontroliniai dydžiai "/>
      <sheetName val="2023 m paj"/>
      <sheetName val="2023 m. asgnavimai iš viso"/>
      <sheetName val="31 pr.2023"/>
      <sheetName val="32 pr.2023"/>
      <sheetName val="33 pr.2023"/>
      <sheetName val="24 programa"/>
      <sheetName val=" 25 programa"/>
      <sheetName val="26 programa"/>
      <sheetName val="27 programa"/>
      <sheetName val="28 programa"/>
      <sheetName val="29 programa"/>
      <sheetName val="30 programa"/>
      <sheetName val="islaigu diagramos"/>
      <sheetName val="Lapas1"/>
      <sheetName val="Lapas3"/>
    </sheetNames>
    <sheetDataSet>
      <sheetData sheetId="0">
        <row r="120">
          <cell r="C120">
            <v>83379.299999999988</v>
          </cell>
        </row>
      </sheetData>
      <sheetData sheetId="1"/>
      <sheetData sheetId="2"/>
      <sheetData sheetId="3"/>
      <sheetData sheetId="4"/>
      <sheetData sheetId="5"/>
      <sheetData sheetId="6"/>
      <sheetData sheetId="7"/>
      <sheetData sheetId="8"/>
      <sheetData sheetId="9"/>
      <sheetData sheetId="10">
        <row r="34">
          <cell r="C34">
            <v>140</v>
          </cell>
        </row>
        <row r="35">
          <cell r="C35">
            <v>35180.000000000007</v>
          </cell>
        </row>
        <row r="36">
          <cell r="C36">
            <v>5346.5</v>
          </cell>
        </row>
        <row r="39">
          <cell r="C39">
            <v>21185.9</v>
          </cell>
        </row>
        <row r="40">
          <cell r="C40">
            <v>4515.3999999999996</v>
          </cell>
        </row>
        <row r="67">
          <cell r="C67">
            <v>178</v>
          </cell>
        </row>
        <row r="68">
          <cell r="C68">
            <v>18.600000000000001</v>
          </cell>
        </row>
        <row r="71">
          <cell r="C71">
            <v>65</v>
          </cell>
        </row>
        <row r="74">
          <cell r="C74">
            <v>5.8</v>
          </cell>
        </row>
        <row r="75">
          <cell r="C75">
            <v>2.6</v>
          </cell>
        </row>
        <row r="76">
          <cell r="C76">
            <v>164.9</v>
          </cell>
        </row>
        <row r="77">
          <cell r="C77">
            <v>346.9</v>
          </cell>
        </row>
        <row r="79">
          <cell r="C79">
            <v>8.4</v>
          </cell>
        </row>
        <row r="80">
          <cell r="C80">
            <v>36</v>
          </cell>
        </row>
        <row r="84">
          <cell r="C84">
            <v>113.4</v>
          </cell>
        </row>
        <row r="85">
          <cell r="C85">
            <v>100</v>
          </cell>
        </row>
        <row r="86">
          <cell r="C86">
            <v>90</v>
          </cell>
        </row>
        <row r="88">
          <cell r="C88">
            <v>3002.6</v>
          </cell>
        </row>
        <row r="101">
          <cell r="C101">
            <v>30</v>
          </cell>
        </row>
        <row r="103">
          <cell r="C103">
            <v>1993.1</v>
          </cell>
        </row>
        <row r="110">
          <cell r="C110">
            <v>2000</v>
          </cell>
        </row>
        <row r="116">
          <cell r="C116">
            <v>46454</v>
          </cell>
        </row>
        <row r="124">
          <cell r="C124">
            <v>6546.2</v>
          </cell>
        </row>
        <row r="125">
          <cell r="C125">
            <v>92343.3</v>
          </cell>
        </row>
      </sheetData>
      <sheetData sheetId="11"/>
      <sheetData sheetId="12">
        <row r="5">
          <cell r="C5">
            <v>16848</v>
          </cell>
          <cell r="D5">
            <v>8167.7000000000007</v>
          </cell>
          <cell r="E5">
            <v>8</v>
          </cell>
          <cell r="F5">
            <v>1315.9</v>
          </cell>
          <cell r="G5">
            <v>18961.099999999999</v>
          </cell>
          <cell r="H5">
            <v>0</v>
          </cell>
          <cell r="I5">
            <v>0</v>
          </cell>
          <cell r="J5">
            <v>0</v>
          </cell>
          <cell r="K5">
            <v>0</v>
          </cell>
          <cell r="M5">
            <v>12359.6</v>
          </cell>
          <cell r="N5">
            <v>4191.9000000000005</v>
          </cell>
          <cell r="O5">
            <v>8</v>
          </cell>
          <cell r="P5">
            <v>0</v>
          </cell>
          <cell r="Q5">
            <v>0</v>
          </cell>
          <cell r="R5">
            <v>20</v>
          </cell>
          <cell r="S5">
            <v>3019.4</v>
          </cell>
          <cell r="T5">
            <v>4700.6000000000004</v>
          </cell>
          <cell r="U5">
            <v>7740</v>
          </cell>
          <cell r="V5">
            <v>2136</v>
          </cell>
          <cell r="W5">
            <v>405</v>
          </cell>
          <cell r="X5">
            <v>0</v>
          </cell>
          <cell r="Y5">
            <v>0</v>
          </cell>
          <cell r="AA5">
            <v>0</v>
          </cell>
          <cell r="AB5">
            <v>7598.6</v>
          </cell>
          <cell r="AD5">
            <v>30247.199999999997</v>
          </cell>
          <cell r="AE5">
            <v>343.6</v>
          </cell>
          <cell r="AG5">
            <v>30590.799999999996</v>
          </cell>
        </row>
      </sheetData>
      <sheetData sheetId="13">
        <row r="6">
          <cell r="C6">
            <v>20797.400000000001</v>
          </cell>
          <cell r="D6">
            <v>12521</v>
          </cell>
          <cell r="E6">
            <v>285</v>
          </cell>
          <cell r="F6">
            <v>3113.2000000000003</v>
          </cell>
          <cell r="G6">
            <v>22846.5</v>
          </cell>
          <cell r="H6">
            <v>0</v>
          </cell>
          <cell r="I6">
            <v>0</v>
          </cell>
          <cell r="J6">
            <v>0</v>
          </cell>
          <cell r="L6">
            <v>0</v>
          </cell>
          <cell r="M6">
            <v>12689.099999999999</v>
          </cell>
          <cell r="N6">
            <v>168.0999999999998</v>
          </cell>
          <cell r="O6">
            <v>292.2</v>
          </cell>
          <cell r="P6">
            <v>0</v>
          </cell>
          <cell r="Q6">
            <v>0</v>
          </cell>
          <cell r="R6">
            <v>4472.8</v>
          </cell>
          <cell r="S6">
            <v>486.9</v>
          </cell>
          <cell r="T6">
            <v>508.7</v>
          </cell>
          <cell r="U6">
            <v>5468.4000000000005</v>
          </cell>
          <cell r="V6">
            <v>34</v>
          </cell>
          <cell r="W6">
            <v>6141.2</v>
          </cell>
          <cell r="X6">
            <v>0</v>
          </cell>
          <cell r="Y6">
            <v>0</v>
          </cell>
          <cell r="AA6">
            <v>0</v>
          </cell>
          <cell r="AB6">
            <v>3466.8</v>
          </cell>
          <cell r="AD6">
            <v>28091.7</v>
          </cell>
          <cell r="AE6">
            <v>79.2</v>
          </cell>
          <cell r="AG6">
            <v>28170.9</v>
          </cell>
        </row>
      </sheetData>
      <sheetData sheetId="14">
        <row r="6">
          <cell r="C6">
            <v>45733.899999999994</v>
          </cell>
          <cell r="D6">
            <v>19914.300000000003</v>
          </cell>
          <cell r="E6">
            <v>1519.2</v>
          </cell>
          <cell r="F6">
            <v>2568.3999999999996</v>
          </cell>
          <cell r="G6">
            <v>47307.399999999987</v>
          </cell>
          <cell r="H6">
            <v>0</v>
          </cell>
          <cell r="I6">
            <v>0</v>
          </cell>
          <cell r="J6">
            <v>0</v>
          </cell>
          <cell r="L6">
            <v>0</v>
          </cell>
          <cell r="M6">
            <v>21405.3</v>
          </cell>
          <cell r="N6">
            <v>1490.9999999999973</v>
          </cell>
          <cell r="O6">
            <v>1692.9</v>
          </cell>
          <cell r="P6">
            <v>0</v>
          </cell>
          <cell r="Q6">
            <v>21185.899999999994</v>
          </cell>
          <cell r="R6">
            <v>22.6</v>
          </cell>
          <cell r="S6">
            <v>625.9</v>
          </cell>
          <cell r="T6">
            <v>137.19999999999999</v>
          </cell>
          <cell r="U6">
            <v>21971.599999999995</v>
          </cell>
          <cell r="V6">
            <v>0</v>
          </cell>
          <cell r="W6">
            <v>0</v>
          </cell>
          <cell r="X6">
            <v>0</v>
          </cell>
          <cell r="Y6">
            <v>0</v>
          </cell>
          <cell r="AA6">
            <v>0</v>
          </cell>
          <cell r="AB6">
            <v>9157.5999999999985</v>
          </cell>
          <cell r="AD6">
            <v>54227.399999999994</v>
          </cell>
          <cell r="AE6">
            <v>12</v>
          </cell>
          <cell r="AF6">
            <v>0</v>
          </cell>
          <cell r="AG6">
            <v>54239.399999999994</v>
          </cell>
        </row>
      </sheetData>
      <sheetData sheetId="15">
        <row r="32">
          <cell r="I32">
            <v>0</v>
          </cell>
        </row>
      </sheetData>
      <sheetData sheetId="16">
        <row r="21">
          <cell r="I21">
            <v>3017.7</v>
          </cell>
        </row>
      </sheetData>
      <sheetData sheetId="17">
        <row r="61">
          <cell r="H61">
            <v>0</v>
          </cell>
        </row>
      </sheetData>
      <sheetData sheetId="18">
        <row r="18">
          <cell r="I18">
            <v>841.6</v>
          </cell>
        </row>
      </sheetData>
      <sheetData sheetId="19">
        <row r="37">
          <cell r="H37">
            <v>0</v>
          </cell>
        </row>
      </sheetData>
      <sheetData sheetId="20">
        <row r="69">
          <cell r="H69">
            <v>0</v>
          </cell>
        </row>
      </sheetData>
      <sheetData sheetId="21">
        <row r="18">
          <cell r="H18">
            <v>0</v>
          </cell>
        </row>
      </sheetData>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0AE0F-10B1-461C-AA27-CC2371ADCFDA}">
  <sheetPr>
    <tabColor rgb="FFFFC000"/>
  </sheetPr>
  <dimension ref="A1:M127"/>
  <sheetViews>
    <sheetView showRowColHeaders="0" tabSelected="1" topLeftCell="B7" zoomScale="98" zoomScaleNormal="98" workbookViewId="0">
      <selection activeCell="R14" sqref="R14"/>
    </sheetView>
  </sheetViews>
  <sheetFormatPr defaultColWidth="9.140625" defaultRowHeight="15.75" x14ac:dyDescent="0.25"/>
  <cols>
    <col min="1" max="1" width="11.42578125" style="25" hidden="1" customWidth="1"/>
    <col min="2" max="2" width="85.42578125" style="26" customWidth="1"/>
    <col min="3" max="3" width="10.85546875" style="27" customWidth="1"/>
    <col min="4" max="4" width="7.28515625" style="28" hidden="1" customWidth="1"/>
    <col min="5" max="5" width="7.42578125" style="28" hidden="1" customWidth="1"/>
    <col min="6" max="6" width="10.85546875" style="29" hidden="1" customWidth="1"/>
    <col min="7" max="7" width="6.42578125" style="29" hidden="1" customWidth="1"/>
    <col min="8" max="12" width="9.140625" style="29" hidden="1" customWidth="1"/>
    <col min="13" max="13" width="0" style="29" hidden="1" customWidth="1"/>
    <col min="14" max="16384" width="9.140625" style="29"/>
  </cols>
  <sheetData>
    <row r="1" spans="1:5" ht="6.75" hidden="1" customHeight="1" x14ac:dyDescent="0.25"/>
    <row r="2" spans="1:5" ht="18" hidden="1" customHeight="1" x14ac:dyDescent="0.25">
      <c r="B2" s="30" t="s">
        <v>772</v>
      </c>
      <c r="C2" s="30"/>
      <c r="D2" s="29"/>
      <c r="E2" s="29"/>
    </row>
    <row r="3" spans="1:5" ht="19.5" hidden="1" customHeight="1" x14ac:dyDescent="0.25">
      <c r="B3" s="31" t="s">
        <v>773</v>
      </c>
      <c r="C3" s="31"/>
      <c r="D3" s="29"/>
      <c r="E3" s="29"/>
    </row>
    <row r="4" spans="1:5" ht="15.75" hidden="1" customHeight="1" x14ac:dyDescent="0.25">
      <c r="B4" s="32" t="s">
        <v>774</v>
      </c>
      <c r="C4" s="32"/>
      <c r="D4" s="29"/>
      <c r="E4" s="29"/>
    </row>
    <row r="5" spans="1:5" ht="17.25" hidden="1" customHeight="1" x14ac:dyDescent="0.25">
      <c r="B5" s="32" t="s">
        <v>775</v>
      </c>
      <c r="C5" s="32"/>
      <c r="D5" s="29"/>
      <c r="E5" s="29"/>
    </row>
    <row r="6" spans="1:5" ht="12.75" hidden="1" customHeight="1" x14ac:dyDescent="0.25">
      <c r="B6" s="33"/>
      <c r="C6" s="28"/>
      <c r="D6" s="29"/>
      <c r="E6" s="29"/>
    </row>
    <row r="7" spans="1:5" s="38" customFormat="1" ht="33.75" customHeight="1" x14ac:dyDescent="0.25">
      <c r="A7" s="34"/>
      <c r="B7" s="35" t="s">
        <v>896</v>
      </c>
      <c r="C7" s="36"/>
      <c r="D7" s="37"/>
      <c r="E7" s="37"/>
    </row>
    <row r="8" spans="1:5" ht="12" customHeight="1" x14ac:dyDescent="0.25">
      <c r="B8" s="39"/>
      <c r="C8" s="40" t="s">
        <v>776</v>
      </c>
      <c r="D8" s="41"/>
      <c r="E8" s="41"/>
    </row>
    <row r="9" spans="1:5" s="47" customFormat="1" ht="24.95" customHeight="1" x14ac:dyDescent="0.25">
      <c r="A9" s="42"/>
      <c r="B9" s="43" t="s">
        <v>777</v>
      </c>
      <c r="C9" s="44" t="s">
        <v>900</v>
      </c>
      <c r="D9" s="45" t="s">
        <v>778</v>
      </c>
      <c r="E9" s="46" t="s">
        <v>779</v>
      </c>
    </row>
    <row r="10" spans="1:5" ht="24.95" hidden="1" customHeight="1" x14ac:dyDescent="0.25">
      <c r="A10" s="48"/>
      <c r="B10" s="49" t="s">
        <v>780</v>
      </c>
      <c r="C10" s="50">
        <v>50.84</v>
      </c>
      <c r="D10" s="45"/>
      <c r="E10" s="51"/>
    </row>
    <row r="11" spans="1:5" ht="24.95" customHeight="1" x14ac:dyDescent="0.25">
      <c r="B11" s="52" t="s">
        <v>781</v>
      </c>
      <c r="C11" s="53">
        <f>C12+C25+C33</f>
        <v>52149</v>
      </c>
      <c r="D11" s="54">
        <f>D12+D25+D33</f>
        <v>50539</v>
      </c>
      <c r="E11" s="55"/>
    </row>
    <row r="12" spans="1:5" ht="24.95" customHeight="1" x14ac:dyDescent="0.25">
      <c r="B12" s="56" t="s">
        <v>782</v>
      </c>
      <c r="C12" s="54">
        <f>C13+C24</f>
        <v>50654</v>
      </c>
      <c r="D12" s="54">
        <f>D13</f>
        <v>50539</v>
      </c>
      <c r="E12" s="54"/>
    </row>
    <row r="13" spans="1:5" ht="24.95" customHeight="1" x14ac:dyDescent="0.25">
      <c r="A13" s="57"/>
      <c r="B13" s="58" t="s">
        <v>783</v>
      </c>
      <c r="C13" s="54">
        <f>C14+C15+C16+C17+C18+C19+C20+C21+C22+C23</f>
        <v>50539</v>
      </c>
      <c r="D13" s="59">
        <f>C13-C18</f>
        <v>50539</v>
      </c>
      <c r="E13" s="60"/>
    </row>
    <row r="14" spans="1:5" ht="24.95" customHeight="1" x14ac:dyDescent="0.25">
      <c r="A14" s="57"/>
      <c r="B14" s="58" t="s">
        <v>784</v>
      </c>
      <c r="C14" s="61">
        <v>35306</v>
      </c>
      <c r="D14" s="61"/>
      <c r="E14" s="61"/>
    </row>
    <row r="15" spans="1:5" ht="24.95" customHeight="1" x14ac:dyDescent="0.25">
      <c r="A15" s="57"/>
      <c r="B15" s="58" t="s">
        <v>785</v>
      </c>
      <c r="C15" s="61">
        <v>2412</v>
      </c>
      <c r="D15" s="61"/>
      <c r="E15" s="61"/>
    </row>
    <row r="16" spans="1:5" ht="24.95" customHeight="1" x14ac:dyDescent="0.25">
      <c r="A16" s="57"/>
      <c r="B16" s="58" t="s">
        <v>786</v>
      </c>
      <c r="C16" s="61">
        <v>2454</v>
      </c>
      <c r="D16" s="61"/>
      <c r="E16" s="61"/>
    </row>
    <row r="17" spans="1:5" ht="24.95" customHeight="1" x14ac:dyDescent="0.25">
      <c r="A17" s="57"/>
      <c r="B17" s="58" t="s">
        <v>897</v>
      </c>
      <c r="C17" s="61">
        <v>8936</v>
      </c>
      <c r="D17" s="61"/>
      <c r="E17" s="61"/>
    </row>
    <row r="18" spans="1:5" ht="24.95" hidden="1" customHeight="1" x14ac:dyDescent="0.25">
      <c r="A18" s="57"/>
      <c r="B18" s="58" t="s">
        <v>787</v>
      </c>
      <c r="C18" s="61"/>
      <c r="D18" s="61"/>
      <c r="E18" s="61"/>
    </row>
    <row r="19" spans="1:5" ht="24.95" hidden="1" customHeight="1" x14ac:dyDescent="0.25">
      <c r="A19" s="57"/>
      <c r="B19" s="58" t="s">
        <v>788</v>
      </c>
      <c r="C19" s="61"/>
      <c r="D19" s="61"/>
      <c r="E19" s="61"/>
    </row>
    <row r="20" spans="1:5" ht="24.95" hidden="1" customHeight="1" x14ac:dyDescent="0.25">
      <c r="A20" s="57"/>
      <c r="B20" s="58" t="s">
        <v>789</v>
      </c>
      <c r="C20" s="61"/>
      <c r="D20" s="61"/>
      <c r="E20" s="61"/>
    </row>
    <row r="21" spans="1:5" ht="24.95" customHeight="1" x14ac:dyDescent="0.25">
      <c r="A21" s="57"/>
      <c r="B21" s="58" t="s">
        <v>898</v>
      </c>
      <c r="C21" s="61">
        <v>1431</v>
      </c>
      <c r="D21" s="61" t="s">
        <v>790</v>
      </c>
      <c r="E21" s="61"/>
    </row>
    <row r="22" spans="1:5" ht="24.95" hidden="1" customHeight="1" x14ac:dyDescent="0.25">
      <c r="A22" s="57"/>
      <c r="B22" s="58" t="s">
        <v>791</v>
      </c>
      <c r="C22" s="62"/>
      <c r="D22" s="61"/>
      <c r="E22" s="61"/>
    </row>
    <row r="23" spans="1:5" ht="24.95" hidden="1" customHeight="1" x14ac:dyDescent="0.25">
      <c r="A23" s="57"/>
      <c r="B23" s="58" t="s">
        <v>792</v>
      </c>
      <c r="C23" s="61"/>
      <c r="D23" s="61"/>
      <c r="E23" s="61"/>
    </row>
    <row r="24" spans="1:5" ht="24.95" customHeight="1" x14ac:dyDescent="0.25">
      <c r="A24" s="57"/>
      <c r="B24" s="58" t="s">
        <v>793</v>
      </c>
      <c r="C24" s="61">
        <v>115</v>
      </c>
      <c r="D24" s="61"/>
      <c r="E24" s="61"/>
    </row>
    <row r="25" spans="1:5" ht="24.95" customHeight="1" x14ac:dyDescent="0.25">
      <c r="A25" s="57"/>
      <c r="B25" s="56" t="s">
        <v>794</v>
      </c>
      <c r="C25" s="54">
        <f>C26+C29+C30</f>
        <v>1345</v>
      </c>
      <c r="D25" s="54"/>
      <c r="E25" s="54"/>
    </row>
    <row r="26" spans="1:5" ht="24.95" customHeight="1" x14ac:dyDescent="0.25">
      <c r="A26" s="57"/>
      <c r="B26" s="63" t="s">
        <v>795</v>
      </c>
      <c r="C26" s="61">
        <v>270</v>
      </c>
      <c r="D26" s="64"/>
      <c r="E26" s="64"/>
    </row>
    <row r="27" spans="1:5" ht="24.95" hidden="1" customHeight="1" x14ac:dyDescent="0.25">
      <c r="A27" s="57"/>
      <c r="B27" s="65" t="s">
        <v>796</v>
      </c>
      <c r="C27" s="61"/>
      <c r="D27" s="61"/>
      <c r="E27" s="61"/>
    </row>
    <row r="28" spans="1:5" ht="24.95" hidden="1" customHeight="1" x14ac:dyDescent="0.25">
      <c r="A28" s="57"/>
      <c r="B28" s="65" t="s">
        <v>797</v>
      </c>
      <c r="C28" s="61"/>
      <c r="D28" s="61"/>
      <c r="E28" s="61"/>
    </row>
    <row r="29" spans="1:5" ht="24.95" customHeight="1" x14ac:dyDescent="0.25">
      <c r="A29" s="57"/>
      <c r="B29" s="63" t="s">
        <v>798</v>
      </c>
      <c r="C29" s="61">
        <v>25</v>
      </c>
      <c r="D29" s="61"/>
      <c r="E29" s="61"/>
    </row>
    <row r="30" spans="1:5" ht="24.95" customHeight="1" x14ac:dyDescent="0.25">
      <c r="A30" s="57"/>
      <c r="B30" s="63" t="s">
        <v>799</v>
      </c>
      <c r="C30" s="61">
        <v>1050</v>
      </c>
      <c r="D30" s="61"/>
      <c r="E30" s="61"/>
    </row>
    <row r="31" spans="1:5" ht="24.95" hidden="1" customHeight="1" x14ac:dyDescent="0.25">
      <c r="A31" s="57"/>
      <c r="B31" s="65" t="s">
        <v>796</v>
      </c>
      <c r="C31" s="61"/>
      <c r="D31" s="61"/>
      <c r="E31" s="61"/>
    </row>
    <row r="32" spans="1:5" ht="24.95" hidden="1" customHeight="1" x14ac:dyDescent="0.25">
      <c r="A32" s="57"/>
      <c r="B32" s="65" t="s">
        <v>797</v>
      </c>
      <c r="C32" s="61"/>
      <c r="D32" s="61"/>
      <c r="E32" s="61"/>
    </row>
    <row r="33" spans="1:10" ht="24.95" customHeight="1" x14ac:dyDescent="0.25">
      <c r="A33" s="57"/>
      <c r="B33" s="56" t="s">
        <v>800</v>
      </c>
      <c r="C33" s="54">
        <f>C34</f>
        <v>150</v>
      </c>
      <c r="D33" s="54"/>
      <c r="E33" s="54"/>
    </row>
    <row r="34" spans="1:10" ht="24.95" customHeight="1" x14ac:dyDescent="0.25">
      <c r="A34" s="57">
        <v>151021</v>
      </c>
      <c r="B34" s="63" t="s">
        <v>801</v>
      </c>
      <c r="C34" s="61">
        <v>150</v>
      </c>
      <c r="D34" s="61"/>
      <c r="E34" s="61"/>
    </row>
    <row r="35" spans="1:10" ht="24.95" customHeight="1" x14ac:dyDescent="0.25">
      <c r="A35" s="57"/>
      <c r="B35" s="52" t="s">
        <v>802</v>
      </c>
      <c r="C35" s="53">
        <f>C36+C37+C38+C39+C40+C67+C68+C69+C70+C71+C72+C73+C74+C75+C76+C77+C78+C80+C79+C81+C82+C83+C84+C85+C86+C87+C89+C88</f>
        <v>41994.499999999993</v>
      </c>
      <c r="D35" s="54"/>
      <c r="E35" s="54"/>
      <c r="J35" s="29" t="s">
        <v>803</v>
      </c>
    </row>
    <row r="36" spans="1:10" ht="24.95" customHeight="1" x14ac:dyDescent="0.25">
      <c r="A36" s="66" t="s">
        <v>804</v>
      </c>
      <c r="B36" s="67" t="s">
        <v>805</v>
      </c>
      <c r="C36" s="54">
        <v>7143.7</v>
      </c>
      <c r="D36" s="54"/>
      <c r="E36" s="54"/>
      <c r="F36" s="68"/>
      <c r="G36" s="69">
        <f>101.3+26</f>
        <v>127.3</v>
      </c>
      <c r="H36" s="68">
        <v>1302</v>
      </c>
      <c r="I36" s="70">
        <f>5219.2</f>
        <v>5219.2</v>
      </c>
      <c r="J36" s="71">
        <f>G36+I36</f>
        <v>5346.5</v>
      </c>
    </row>
    <row r="37" spans="1:10" ht="24.95" hidden="1" customHeight="1" x14ac:dyDescent="0.25">
      <c r="A37" s="57">
        <v>1301</v>
      </c>
      <c r="B37" s="67"/>
      <c r="C37" s="54"/>
      <c r="D37" s="54">
        <v>0</v>
      </c>
      <c r="E37" s="54"/>
    </row>
    <row r="38" spans="1:10" ht="24.95" hidden="1" customHeight="1" x14ac:dyDescent="0.25">
      <c r="A38" s="57"/>
      <c r="B38" s="72" t="s">
        <v>806</v>
      </c>
      <c r="C38" s="54"/>
      <c r="D38" s="54"/>
      <c r="E38" s="54"/>
    </row>
    <row r="39" spans="1:10" ht="24.95" customHeight="1" x14ac:dyDescent="0.25">
      <c r="A39" s="57">
        <v>141</v>
      </c>
      <c r="B39" s="72" t="s">
        <v>807</v>
      </c>
      <c r="C39" s="62">
        <v>24519.8</v>
      </c>
      <c r="D39" s="60"/>
      <c r="E39" s="60"/>
      <c r="G39" s="71"/>
    </row>
    <row r="40" spans="1:10" ht="24.95" customHeight="1" x14ac:dyDescent="0.25">
      <c r="A40" s="57">
        <v>142</v>
      </c>
      <c r="B40" s="67" t="s">
        <v>808</v>
      </c>
      <c r="C40" s="73">
        <v>5337.2</v>
      </c>
      <c r="D40" s="74"/>
      <c r="E40" s="74"/>
    </row>
    <row r="41" spans="1:10" ht="24.95" hidden="1" customHeight="1" x14ac:dyDescent="0.25">
      <c r="A41" s="57">
        <v>14201</v>
      </c>
      <c r="B41" s="63" t="s">
        <v>809</v>
      </c>
      <c r="C41" s="61">
        <v>423.9</v>
      </c>
      <c r="D41" s="61"/>
      <c r="E41" s="61"/>
    </row>
    <row r="42" spans="1:10" ht="24.95" hidden="1" customHeight="1" x14ac:dyDescent="0.25">
      <c r="A42" s="57">
        <v>14202</v>
      </c>
      <c r="B42" s="63"/>
      <c r="C42" s="61"/>
      <c r="D42" s="61"/>
      <c r="E42" s="61"/>
    </row>
    <row r="43" spans="1:10" ht="24.95" hidden="1" customHeight="1" x14ac:dyDescent="0.25">
      <c r="A43" s="57">
        <v>14226</v>
      </c>
      <c r="B43" s="63" t="s">
        <v>810</v>
      </c>
      <c r="C43" s="61">
        <v>94.5</v>
      </c>
      <c r="D43" s="61"/>
      <c r="E43" s="61"/>
    </row>
    <row r="44" spans="1:10" ht="24.95" hidden="1" customHeight="1" x14ac:dyDescent="0.25">
      <c r="A44" s="57">
        <v>14203</v>
      </c>
      <c r="B44" s="75" t="s">
        <v>811</v>
      </c>
      <c r="C44" s="76">
        <v>0.9</v>
      </c>
      <c r="D44" s="76"/>
      <c r="E44" s="76"/>
    </row>
    <row r="45" spans="1:10" ht="24.95" hidden="1" customHeight="1" x14ac:dyDescent="0.25">
      <c r="A45" s="57">
        <v>14204</v>
      </c>
      <c r="B45" s="75" t="s">
        <v>812</v>
      </c>
      <c r="C45" s="76">
        <v>34.700000000000003</v>
      </c>
      <c r="D45" s="76"/>
      <c r="E45" s="76"/>
    </row>
    <row r="46" spans="1:10" ht="24.95" hidden="1" customHeight="1" x14ac:dyDescent="0.25">
      <c r="A46" s="57"/>
      <c r="B46" s="75" t="s">
        <v>813</v>
      </c>
      <c r="C46" s="76"/>
      <c r="D46" s="76"/>
      <c r="E46" s="76"/>
    </row>
    <row r="47" spans="1:10" ht="24.95" hidden="1" customHeight="1" x14ac:dyDescent="0.25">
      <c r="A47" s="57">
        <v>14206</v>
      </c>
      <c r="B47" s="75" t="s">
        <v>814</v>
      </c>
      <c r="C47" s="76">
        <v>22.6</v>
      </c>
      <c r="D47" s="76"/>
      <c r="E47" s="76"/>
    </row>
    <row r="48" spans="1:10" ht="24.95" hidden="1" customHeight="1" x14ac:dyDescent="0.25">
      <c r="A48" s="57">
        <v>14207</v>
      </c>
      <c r="B48" s="75" t="s">
        <v>815</v>
      </c>
      <c r="C48" s="76">
        <v>1.4</v>
      </c>
      <c r="D48" s="76"/>
      <c r="E48" s="76"/>
    </row>
    <row r="49" spans="1:5" ht="24.95" hidden="1" customHeight="1" x14ac:dyDescent="0.25">
      <c r="A49" s="57"/>
      <c r="B49" s="75" t="s">
        <v>816</v>
      </c>
      <c r="C49" s="76"/>
      <c r="D49" s="76"/>
      <c r="E49" s="76"/>
    </row>
    <row r="50" spans="1:5" ht="24.95" hidden="1" customHeight="1" x14ac:dyDescent="0.25">
      <c r="A50" s="57">
        <v>14208</v>
      </c>
      <c r="B50" s="77" t="s">
        <v>817</v>
      </c>
      <c r="C50" s="76">
        <v>16.8</v>
      </c>
      <c r="D50" s="76"/>
      <c r="E50" s="76"/>
    </row>
    <row r="51" spans="1:5" ht="24.95" hidden="1" customHeight="1" x14ac:dyDescent="0.25">
      <c r="A51" s="57">
        <v>14209</v>
      </c>
      <c r="B51" s="75" t="s">
        <v>818</v>
      </c>
      <c r="C51" s="76">
        <v>60.7</v>
      </c>
      <c r="D51" s="76"/>
      <c r="E51" s="76"/>
    </row>
    <row r="52" spans="1:5" ht="24.95" hidden="1" customHeight="1" x14ac:dyDescent="0.25">
      <c r="A52" s="57">
        <v>14221</v>
      </c>
      <c r="B52" s="75" t="s">
        <v>819</v>
      </c>
      <c r="C52" s="76">
        <v>5</v>
      </c>
      <c r="D52" s="76"/>
      <c r="E52" s="76"/>
    </row>
    <row r="53" spans="1:5" ht="24.95" hidden="1" customHeight="1" x14ac:dyDescent="0.25">
      <c r="A53" s="57">
        <v>14210</v>
      </c>
      <c r="B53" s="75" t="s">
        <v>820</v>
      </c>
      <c r="C53" s="76">
        <v>30.2</v>
      </c>
      <c r="D53" s="76"/>
      <c r="E53" s="76"/>
    </row>
    <row r="54" spans="1:5" ht="24.95" hidden="1" customHeight="1" x14ac:dyDescent="0.25">
      <c r="A54" s="57">
        <v>14211</v>
      </c>
      <c r="B54" s="75" t="s">
        <v>821</v>
      </c>
      <c r="C54" s="76">
        <v>51.9</v>
      </c>
      <c r="D54" s="76"/>
      <c r="E54" s="76"/>
    </row>
    <row r="55" spans="1:5" ht="24.95" hidden="1" customHeight="1" x14ac:dyDescent="0.25">
      <c r="A55" s="57">
        <v>14212</v>
      </c>
      <c r="B55" s="75" t="s">
        <v>822</v>
      </c>
      <c r="C55" s="76">
        <v>390.1</v>
      </c>
      <c r="D55" s="76"/>
      <c r="E55" s="76"/>
    </row>
    <row r="56" spans="1:5" ht="24.95" hidden="1" customHeight="1" x14ac:dyDescent="0.25">
      <c r="A56" s="57">
        <v>14213</v>
      </c>
      <c r="B56" s="75" t="s">
        <v>823</v>
      </c>
      <c r="C56" s="76">
        <v>5.9</v>
      </c>
      <c r="D56" s="76"/>
      <c r="E56" s="76"/>
    </row>
    <row r="57" spans="1:5" ht="24.95" hidden="1" customHeight="1" x14ac:dyDescent="0.25">
      <c r="A57" s="57">
        <v>14214</v>
      </c>
      <c r="B57" s="75" t="s">
        <v>824</v>
      </c>
      <c r="C57" s="76">
        <v>0.5</v>
      </c>
      <c r="D57" s="76"/>
      <c r="E57" s="76"/>
    </row>
    <row r="58" spans="1:5" ht="24.95" hidden="1" customHeight="1" x14ac:dyDescent="0.25">
      <c r="A58" s="57">
        <v>14222</v>
      </c>
      <c r="B58" s="75" t="s">
        <v>825</v>
      </c>
      <c r="C58" s="76">
        <v>5.3</v>
      </c>
      <c r="D58" s="76"/>
      <c r="E58" s="76"/>
    </row>
    <row r="59" spans="1:5" ht="24.95" hidden="1" customHeight="1" x14ac:dyDescent="0.25">
      <c r="A59" s="57">
        <v>14223</v>
      </c>
      <c r="B59" s="75" t="s">
        <v>826</v>
      </c>
      <c r="C59" s="76">
        <v>21.9</v>
      </c>
      <c r="D59" s="76"/>
      <c r="E59" s="76"/>
    </row>
    <row r="60" spans="1:5" ht="24.95" hidden="1" customHeight="1" x14ac:dyDescent="0.25">
      <c r="A60" s="57">
        <v>14215</v>
      </c>
      <c r="B60" s="75" t="s">
        <v>827</v>
      </c>
      <c r="C60" s="76">
        <v>5.3</v>
      </c>
      <c r="D60" s="76"/>
      <c r="E60" s="76"/>
    </row>
    <row r="61" spans="1:5" ht="24.95" hidden="1" customHeight="1" x14ac:dyDescent="0.25">
      <c r="A61" s="57">
        <v>14216</v>
      </c>
      <c r="B61" s="75" t="s">
        <v>828</v>
      </c>
      <c r="C61" s="76">
        <v>0.5</v>
      </c>
      <c r="D61" s="76"/>
      <c r="E61" s="76"/>
    </row>
    <row r="62" spans="1:5" ht="24.95" hidden="1" customHeight="1" x14ac:dyDescent="0.25">
      <c r="A62" s="57">
        <v>14217</v>
      </c>
      <c r="B62" s="75" t="s">
        <v>829</v>
      </c>
      <c r="C62" s="76">
        <v>184.6</v>
      </c>
      <c r="D62" s="76"/>
      <c r="E62" s="76"/>
    </row>
    <row r="63" spans="1:5" ht="24.95" hidden="1" customHeight="1" x14ac:dyDescent="0.25">
      <c r="A63" s="57">
        <v>14218</v>
      </c>
      <c r="B63" s="75" t="s">
        <v>830</v>
      </c>
      <c r="C63" s="76">
        <v>1037.3</v>
      </c>
      <c r="D63" s="76"/>
      <c r="E63" s="76"/>
    </row>
    <row r="64" spans="1:5" ht="24.95" hidden="1" customHeight="1" x14ac:dyDescent="0.25">
      <c r="A64" s="57">
        <v>14219</v>
      </c>
      <c r="B64" s="75" t="s">
        <v>831</v>
      </c>
      <c r="C64" s="76">
        <v>2095.6999999999998</v>
      </c>
      <c r="D64" s="76"/>
      <c r="E64" s="76"/>
    </row>
    <row r="65" spans="1:7" ht="24.95" hidden="1" customHeight="1" x14ac:dyDescent="0.25">
      <c r="A65" s="57">
        <v>14220</v>
      </c>
      <c r="B65" s="75" t="s">
        <v>832</v>
      </c>
      <c r="C65" s="76">
        <v>5.7</v>
      </c>
      <c r="D65" s="76"/>
      <c r="E65" s="76"/>
    </row>
    <row r="66" spans="1:7" ht="24.95" hidden="1" customHeight="1" x14ac:dyDescent="0.25">
      <c r="A66" s="57">
        <v>14224</v>
      </c>
      <c r="B66" s="75" t="s">
        <v>833</v>
      </c>
      <c r="C66" s="76">
        <v>20</v>
      </c>
      <c r="D66" s="76"/>
      <c r="E66" s="76"/>
    </row>
    <row r="67" spans="1:7" ht="24.95" customHeight="1" x14ac:dyDescent="0.25">
      <c r="A67" s="57">
        <v>14401</v>
      </c>
      <c r="B67" s="67" t="s">
        <v>834</v>
      </c>
      <c r="C67" s="62">
        <v>226</v>
      </c>
      <c r="D67" s="62"/>
      <c r="E67" s="62"/>
      <c r="F67" s="29">
        <v>144</v>
      </c>
      <c r="G67" s="71">
        <f>C67+C68+C69</f>
        <v>242.9</v>
      </c>
    </row>
    <row r="68" spans="1:7" ht="24.95" customHeight="1" x14ac:dyDescent="0.25">
      <c r="A68" s="57">
        <v>14402</v>
      </c>
      <c r="B68" s="67" t="s">
        <v>835</v>
      </c>
      <c r="C68" s="62">
        <v>16.899999999999999</v>
      </c>
      <c r="D68" s="61"/>
      <c r="E68" s="61"/>
      <c r="G68" s="71"/>
    </row>
    <row r="69" spans="1:7" ht="24.95" hidden="1" customHeight="1" x14ac:dyDescent="0.25">
      <c r="A69" s="57">
        <v>14404</v>
      </c>
      <c r="B69" s="67" t="s">
        <v>836</v>
      </c>
      <c r="C69" s="62"/>
      <c r="D69" s="61"/>
      <c r="E69" s="61"/>
      <c r="G69" s="71"/>
    </row>
    <row r="70" spans="1:7" ht="24.95" hidden="1" customHeight="1" x14ac:dyDescent="0.25">
      <c r="A70" s="57">
        <v>14722</v>
      </c>
      <c r="B70" s="78" t="s">
        <v>837</v>
      </c>
      <c r="C70" s="62"/>
      <c r="D70" s="61"/>
      <c r="E70" s="61"/>
      <c r="F70" s="29">
        <v>147</v>
      </c>
      <c r="G70" s="71">
        <f>C70+C71+C72+C73+C74+C75+C76+C77+C79+C80+C81+C82+C83+C84+C85+C86+C87</f>
        <v>1043.8</v>
      </c>
    </row>
    <row r="71" spans="1:7" ht="24.95" customHeight="1" x14ac:dyDescent="0.25">
      <c r="A71" s="57">
        <v>14723</v>
      </c>
      <c r="B71" s="67" t="s">
        <v>838</v>
      </c>
      <c r="C71" s="62">
        <v>62</v>
      </c>
      <c r="D71" s="61"/>
      <c r="E71" s="61"/>
    </row>
    <row r="72" spans="1:7" ht="24.95" hidden="1" customHeight="1" x14ac:dyDescent="0.25">
      <c r="A72" s="57">
        <v>14711</v>
      </c>
      <c r="B72" s="78" t="s">
        <v>839</v>
      </c>
      <c r="C72" s="61"/>
      <c r="D72" s="61"/>
      <c r="E72" s="61"/>
    </row>
    <row r="73" spans="1:7" ht="24.95" hidden="1" customHeight="1" x14ac:dyDescent="0.25">
      <c r="A73" s="57">
        <v>14713</v>
      </c>
      <c r="B73" s="78" t="s">
        <v>840</v>
      </c>
      <c r="C73" s="61"/>
      <c r="D73" s="61"/>
      <c r="E73" s="61"/>
    </row>
    <row r="74" spans="1:7" ht="24.95" hidden="1" customHeight="1" x14ac:dyDescent="0.25">
      <c r="A74" s="57">
        <v>14710</v>
      </c>
      <c r="B74" s="78" t="s">
        <v>841</v>
      </c>
      <c r="C74" s="62"/>
      <c r="D74" s="61"/>
      <c r="E74" s="61"/>
    </row>
    <row r="75" spans="1:7" ht="24.95" hidden="1" customHeight="1" x14ac:dyDescent="0.25">
      <c r="A75" s="57">
        <v>14721</v>
      </c>
      <c r="B75" s="78" t="s">
        <v>842</v>
      </c>
      <c r="C75" s="62"/>
      <c r="D75" s="61"/>
      <c r="E75" s="61"/>
    </row>
    <row r="76" spans="1:7" ht="24.95" customHeight="1" x14ac:dyDescent="0.25">
      <c r="A76" s="57">
        <v>14724</v>
      </c>
      <c r="B76" s="67" t="s">
        <v>843</v>
      </c>
      <c r="C76" s="62">
        <v>173.7</v>
      </c>
      <c r="D76" s="61"/>
      <c r="E76" s="61"/>
    </row>
    <row r="77" spans="1:7" ht="24.95" customHeight="1" x14ac:dyDescent="0.25">
      <c r="A77" s="57">
        <v>14725</v>
      </c>
      <c r="B77" s="67" t="s">
        <v>844</v>
      </c>
      <c r="C77" s="62">
        <v>355.5</v>
      </c>
      <c r="D77" s="61"/>
      <c r="E77" s="61"/>
    </row>
    <row r="78" spans="1:7" ht="24.95" hidden="1" customHeight="1" x14ac:dyDescent="0.25">
      <c r="A78" s="57">
        <v>14704</v>
      </c>
      <c r="B78" s="67" t="s">
        <v>845</v>
      </c>
      <c r="C78" s="62"/>
      <c r="D78" s="61"/>
      <c r="E78" s="61"/>
    </row>
    <row r="79" spans="1:7" ht="24.95" hidden="1" customHeight="1" x14ac:dyDescent="0.25">
      <c r="A79" s="57">
        <v>14706</v>
      </c>
      <c r="B79" s="67" t="s">
        <v>846</v>
      </c>
      <c r="C79" s="62"/>
      <c r="D79" s="61"/>
      <c r="E79" s="61"/>
    </row>
    <row r="80" spans="1:7" ht="24.95" customHeight="1" x14ac:dyDescent="0.25">
      <c r="A80" s="57">
        <v>14732</v>
      </c>
      <c r="B80" s="67" t="s">
        <v>847</v>
      </c>
      <c r="C80" s="62">
        <v>36</v>
      </c>
      <c r="D80" s="61"/>
      <c r="E80" s="61"/>
    </row>
    <row r="81" spans="1:7" ht="24.95" hidden="1" customHeight="1" x14ac:dyDescent="0.25">
      <c r="A81" s="57">
        <v>14736</v>
      </c>
      <c r="B81" s="67" t="s">
        <v>848</v>
      </c>
      <c r="C81" s="62"/>
      <c r="D81" s="61"/>
      <c r="E81" s="61"/>
    </row>
    <row r="82" spans="1:7" ht="24.95" hidden="1" customHeight="1" x14ac:dyDescent="0.25">
      <c r="A82" s="57">
        <v>14737</v>
      </c>
      <c r="B82" s="67" t="s">
        <v>849</v>
      </c>
      <c r="C82" s="62"/>
      <c r="D82" s="61"/>
      <c r="E82" s="61"/>
      <c r="F82" s="29">
        <v>45</v>
      </c>
    </row>
    <row r="83" spans="1:7" ht="24.95" hidden="1" customHeight="1" x14ac:dyDescent="0.25">
      <c r="A83" s="57">
        <v>14738</v>
      </c>
      <c r="B83" s="67" t="s">
        <v>850</v>
      </c>
      <c r="C83" s="62"/>
      <c r="D83" s="61"/>
      <c r="E83" s="61"/>
    </row>
    <row r="84" spans="1:7" s="80" customFormat="1" ht="24.95" customHeight="1" x14ac:dyDescent="0.25">
      <c r="A84" s="79">
        <v>14739</v>
      </c>
      <c r="B84" s="67" t="s">
        <v>851</v>
      </c>
      <c r="C84" s="62">
        <v>150.4</v>
      </c>
      <c r="D84" s="62"/>
      <c r="E84" s="62"/>
    </row>
    <row r="85" spans="1:7" ht="24.95" customHeight="1" x14ac:dyDescent="0.25">
      <c r="A85" s="57">
        <v>14740</v>
      </c>
      <c r="B85" s="67" t="s">
        <v>852</v>
      </c>
      <c r="C85" s="62">
        <v>140.6</v>
      </c>
      <c r="D85" s="61"/>
      <c r="E85" s="61"/>
    </row>
    <row r="86" spans="1:7" ht="24.95" customHeight="1" x14ac:dyDescent="0.25">
      <c r="A86" s="57">
        <v>14710</v>
      </c>
      <c r="B86" s="67" t="s">
        <v>284</v>
      </c>
      <c r="C86" s="62">
        <v>125.6</v>
      </c>
      <c r="D86" s="61"/>
      <c r="E86" s="61"/>
    </row>
    <row r="87" spans="1:7" ht="24.95" hidden="1" customHeight="1" x14ac:dyDescent="0.25">
      <c r="A87" s="57">
        <v>14756</v>
      </c>
      <c r="B87" s="67" t="s">
        <v>853</v>
      </c>
      <c r="C87" s="62"/>
      <c r="D87" s="61"/>
      <c r="E87" s="61"/>
    </row>
    <row r="88" spans="1:7" ht="24.95" customHeight="1" x14ac:dyDescent="0.25">
      <c r="A88" s="57"/>
      <c r="B88" s="67" t="s">
        <v>901</v>
      </c>
      <c r="C88" s="62">
        <v>37.1</v>
      </c>
      <c r="D88" s="61"/>
      <c r="E88" s="61"/>
    </row>
    <row r="89" spans="1:7" ht="24.95" customHeight="1" x14ac:dyDescent="0.25">
      <c r="A89" s="57"/>
      <c r="B89" s="67" t="s">
        <v>854</v>
      </c>
      <c r="C89" s="54">
        <f>C90+C91+C92+C93+C94+C95+C96</f>
        <v>3670</v>
      </c>
      <c r="D89" s="54"/>
      <c r="E89" s="54"/>
      <c r="F89" s="29">
        <v>149</v>
      </c>
      <c r="G89" s="71">
        <f>C94+C95+C90</f>
        <v>3670</v>
      </c>
    </row>
    <row r="90" spans="1:7" ht="24.95" customHeight="1" x14ac:dyDescent="0.25">
      <c r="A90" s="57">
        <v>14904</v>
      </c>
      <c r="B90" s="63" t="s">
        <v>855</v>
      </c>
      <c r="C90" s="60">
        <v>3670</v>
      </c>
      <c r="D90" s="54"/>
      <c r="E90" s="54"/>
    </row>
    <row r="91" spans="1:7" ht="24.95" hidden="1" customHeight="1" x14ac:dyDescent="0.25">
      <c r="A91" s="57"/>
      <c r="B91" s="75" t="s">
        <v>856</v>
      </c>
      <c r="C91" s="60"/>
      <c r="D91" s="61"/>
      <c r="E91" s="61"/>
    </row>
    <row r="92" spans="1:7" ht="24.95" hidden="1" customHeight="1" x14ac:dyDescent="0.25">
      <c r="A92" s="57"/>
      <c r="B92" s="75" t="s">
        <v>857</v>
      </c>
      <c r="C92" s="60"/>
      <c r="D92" s="61"/>
      <c r="E92" s="61"/>
      <c r="G92" s="71">
        <f>G39+G67+G68+G70+G89</f>
        <v>4956.7</v>
      </c>
    </row>
    <row r="93" spans="1:7" ht="24.95" hidden="1" customHeight="1" x14ac:dyDescent="0.25">
      <c r="A93" s="57"/>
      <c r="B93" s="75" t="s">
        <v>858</v>
      </c>
      <c r="C93" s="60"/>
      <c r="D93" s="61"/>
      <c r="E93" s="61"/>
    </row>
    <row r="94" spans="1:7" ht="24.95" hidden="1" customHeight="1" x14ac:dyDescent="0.25">
      <c r="A94" s="57">
        <v>14901</v>
      </c>
      <c r="B94" s="75" t="s">
        <v>859</v>
      </c>
      <c r="C94" s="60"/>
      <c r="D94" s="61"/>
      <c r="E94" s="61"/>
    </row>
    <row r="95" spans="1:7" ht="24.95" hidden="1" customHeight="1" x14ac:dyDescent="0.25">
      <c r="A95" s="57">
        <v>14903</v>
      </c>
      <c r="B95" s="75" t="s">
        <v>860</v>
      </c>
      <c r="C95" s="61"/>
      <c r="D95" s="61"/>
      <c r="E95" s="61"/>
    </row>
    <row r="96" spans="1:7" ht="24.95" hidden="1" customHeight="1" x14ac:dyDescent="0.25">
      <c r="A96" s="57"/>
      <c r="B96" s="63" t="s">
        <v>861</v>
      </c>
      <c r="C96" s="61"/>
      <c r="D96" s="61"/>
      <c r="E96" s="61"/>
    </row>
    <row r="97" spans="1:7" ht="24.95" customHeight="1" x14ac:dyDescent="0.25">
      <c r="A97" s="57"/>
      <c r="B97" s="52" t="s">
        <v>862</v>
      </c>
      <c r="C97" s="53">
        <f>C98+C99+C100+C103+C112+C113+C114+C115</f>
        <v>5601.8</v>
      </c>
      <c r="D97" s="54">
        <f>D98+D99+D100+D103+D112+D113+D114</f>
        <v>0</v>
      </c>
      <c r="E97" s="54"/>
      <c r="F97" s="71">
        <f>G67+G70+G89</f>
        <v>4956.7</v>
      </c>
      <c r="G97" s="71"/>
    </row>
    <row r="98" spans="1:7" ht="24.95" hidden="1" customHeight="1" x14ac:dyDescent="0.25">
      <c r="A98" s="57"/>
      <c r="B98" s="58" t="s">
        <v>863</v>
      </c>
      <c r="C98" s="54"/>
      <c r="D98" s="54"/>
      <c r="E98" s="54"/>
    </row>
    <row r="99" spans="1:7" ht="24.95" hidden="1" customHeight="1" x14ac:dyDescent="0.25">
      <c r="A99" s="57"/>
      <c r="B99" s="58" t="s">
        <v>864</v>
      </c>
      <c r="C99" s="60"/>
      <c r="D99" s="60"/>
      <c r="E99" s="60"/>
    </row>
    <row r="100" spans="1:7" ht="24.95" customHeight="1" x14ac:dyDescent="0.25">
      <c r="A100" s="57"/>
      <c r="B100" s="56" t="s">
        <v>865</v>
      </c>
      <c r="C100" s="54">
        <f>C101+C102</f>
        <v>400</v>
      </c>
      <c r="D100" s="54">
        <f>D101+D102</f>
        <v>0</v>
      </c>
      <c r="E100" s="54"/>
      <c r="F100" s="29" t="s">
        <v>866</v>
      </c>
    </row>
    <row r="101" spans="1:7" ht="24.95" customHeight="1" x14ac:dyDescent="0.25">
      <c r="A101" s="57"/>
      <c r="B101" s="58" t="s">
        <v>867</v>
      </c>
      <c r="C101" s="61">
        <v>360</v>
      </c>
      <c r="D101" s="61"/>
      <c r="E101" s="61"/>
    </row>
    <row r="102" spans="1:7" ht="24.95" customHeight="1" x14ac:dyDescent="0.25">
      <c r="A102" s="57">
        <v>151021</v>
      </c>
      <c r="B102" s="58" t="s">
        <v>868</v>
      </c>
      <c r="C102" s="61">
        <v>40</v>
      </c>
      <c r="D102" s="61"/>
      <c r="E102" s="61"/>
    </row>
    <row r="103" spans="1:7" ht="24.95" customHeight="1" x14ac:dyDescent="0.25">
      <c r="A103" s="57"/>
      <c r="B103" s="67" t="s">
        <v>869</v>
      </c>
      <c r="C103" s="54">
        <f>C104+C108</f>
        <v>4711.8</v>
      </c>
      <c r="D103" s="54"/>
      <c r="E103" s="54"/>
    </row>
    <row r="104" spans="1:7" ht="24.95" customHeight="1" x14ac:dyDescent="0.25">
      <c r="A104" s="57"/>
      <c r="B104" s="67" t="s">
        <v>870</v>
      </c>
      <c r="C104" s="54">
        <f>C105+C106+C107</f>
        <v>2625.8</v>
      </c>
      <c r="D104" s="54">
        <f>D105+D106+D107</f>
        <v>0</v>
      </c>
      <c r="E104" s="54"/>
    </row>
    <row r="105" spans="1:7" ht="24.95" customHeight="1" x14ac:dyDescent="0.25">
      <c r="A105" s="57">
        <v>31</v>
      </c>
      <c r="B105" s="63" t="s">
        <v>871</v>
      </c>
      <c r="C105" s="60">
        <v>395.3</v>
      </c>
      <c r="D105" s="54"/>
      <c r="E105" s="54"/>
    </row>
    <row r="106" spans="1:7" ht="24.95" customHeight="1" x14ac:dyDescent="0.25">
      <c r="A106" s="57">
        <v>32</v>
      </c>
      <c r="B106" s="63" t="s">
        <v>872</v>
      </c>
      <c r="C106" s="61">
        <v>249.5</v>
      </c>
      <c r="D106" s="61"/>
      <c r="E106" s="61"/>
    </row>
    <row r="107" spans="1:7" s="80" customFormat="1" ht="24.95" customHeight="1" x14ac:dyDescent="0.25">
      <c r="A107" s="57">
        <v>33</v>
      </c>
      <c r="B107" s="63" t="s">
        <v>873</v>
      </c>
      <c r="C107" s="61">
        <v>1981</v>
      </c>
      <c r="D107" s="61"/>
      <c r="E107" s="61"/>
      <c r="F107" s="81"/>
    </row>
    <row r="108" spans="1:7" ht="24.95" customHeight="1" x14ac:dyDescent="0.25">
      <c r="A108" s="57"/>
      <c r="B108" s="67" t="s">
        <v>874</v>
      </c>
      <c r="C108" s="62">
        <f>C109+C110+C111</f>
        <v>2086</v>
      </c>
      <c r="D108" s="62">
        <f>D109+D110+D111</f>
        <v>0</v>
      </c>
      <c r="E108" s="62"/>
    </row>
    <row r="109" spans="1:7" ht="24.95" customHeight="1" x14ac:dyDescent="0.25">
      <c r="A109" s="57"/>
      <c r="B109" s="63" t="s">
        <v>875</v>
      </c>
      <c r="C109" s="61">
        <v>27</v>
      </c>
      <c r="D109" s="61"/>
      <c r="E109" s="61"/>
    </row>
    <row r="110" spans="1:7" ht="24.95" customHeight="1" x14ac:dyDescent="0.25">
      <c r="A110" s="57"/>
      <c r="B110" s="63" t="s">
        <v>876</v>
      </c>
      <c r="C110" s="61">
        <v>59</v>
      </c>
      <c r="D110" s="61"/>
      <c r="E110" s="61"/>
    </row>
    <row r="111" spans="1:7" ht="24.95" customHeight="1" x14ac:dyDescent="0.25">
      <c r="A111" s="57">
        <v>15103</v>
      </c>
      <c r="B111" s="58" t="s">
        <v>877</v>
      </c>
      <c r="C111" s="61">
        <v>2000</v>
      </c>
      <c r="D111" s="61"/>
      <c r="E111" s="61"/>
    </row>
    <row r="112" spans="1:7" ht="24.95" customHeight="1" x14ac:dyDescent="0.25">
      <c r="A112" s="57"/>
      <c r="B112" s="67" t="s">
        <v>878</v>
      </c>
      <c r="C112" s="62">
        <v>20</v>
      </c>
      <c r="D112" s="62"/>
      <c r="E112" s="62"/>
    </row>
    <row r="113" spans="1:13" ht="24.95" customHeight="1" x14ac:dyDescent="0.25">
      <c r="A113" s="57"/>
      <c r="B113" s="56" t="s">
        <v>879</v>
      </c>
      <c r="C113" s="62">
        <v>350</v>
      </c>
      <c r="D113" s="62"/>
      <c r="E113" s="62"/>
    </row>
    <row r="114" spans="1:13" ht="24.95" customHeight="1" x14ac:dyDescent="0.25">
      <c r="A114" s="57" t="s">
        <v>880</v>
      </c>
      <c r="B114" s="56" t="s">
        <v>881</v>
      </c>
      <c r="C114" s="62">
        <v>100</v>
      </c>
      <c r="D114" s="62"/>
      <c r="E114" s="62"/>
    </row>
    <row r="115" spans="1:13" ht="24.95" customHeight="1" x14ac:dyDescent="0.25">
      <c r="A115" s="57"/>
      <c r="B115" s="56" t="s">
        <v>899</v>
      </c>
      <c r="C115" s="62">
        <v>20</v>
      </c>
      <c r="D115" s="62"/>
      <c r="E115" s="62"/>
    </row>
    <row r="116" spans="1:13" ht="24.95" customHeight="1" x14ac:dyDescent="0.25">
      <c r="A116" s="57"/>
      <c r="B116" s="82" t="s">
        <v>882</v>
      </c>
      <c r="C116" s="83">
        <f>C11+C35+C97</f>
        <v>99745.3</v>
      </c>
      <c r="D116" s="84">
        <f>D13+D25+D109+D101+D112+D113</f>
        <v>50539</v>
      </c>
      <c r="E116" s="84"/>
      <c r="F116" s="71"/>
    </row>
    <row r="117" spans="1:13" ht="24.95" customHeight="1" x14ac:dyDescent="0.25">
      <c r="A117" s="57"/>
      <c r="B117" s="85" t="s">
        <v>883</v>
      </c>
      <c r="C117" s="54">
        <f>C13+C24+C25+C101+C109+C110+C112+C113+C114</f>
        <v>52915</v>
      </c>
      <c r="D117" s="54">
        <f>D12+D25+D101+D109+D110+D112+D113+D114</f>
        <v>50539</v>
      </c>
      <c r="E117" s="84"/>
      <c r="M117" s="71">
        <f>C117-D117</f>
        <v>2376</v>
      </c>
    </row>
    <row r="118" spans="1:13" ht="24.95" hidden="1" customHeight="1" x14ac:dyDescent="0.25">
      <c r="A118" s="57"/>
      <c r="B118" s="86"/>
      <c r="C118" s="87"/>
      <c r="D118" s="87"/>
      <c r="E118" s="87"/>
    </row>
    <row r="119" spans="1:13" ht="24.95" hidden="1" customHeight="1" x14ac:dyDescent="0.25">
      <c r="A119" s="57"/>
      <c r="B119" s="88" t="s">
        <v>884</v>
      </c>
      <c r="C119" s="87"/>
      <c r="D119" s="87"/>
      <c r="E119" s="87"/>
    </row>
    <row r="120" spans="1:13" ht="24.95" hidden="1" customHeight="1" x14ac:dyDescent="0.25">
      <c r="A120" s="57">
        <v>15501</v>
      </c>
      <c r="B120" s="88" t="s">
        <v>885</v>
      </c>
      <c r="C120" s="89"/>
      <c r="D120" s="87"/>
      <c r="E120" s="87"/>
    </row>
    <row r="121" spans="1:13" ht="24.95" hidden="1" customHeight="1" x14ac:dyDescent="0.25">
      <c r="A121" s="66" t="s">
        <v>886</v>
      </c>
      <c r="B121" s="86" t="s">
        <v>887</v>
      </c>
      <c r="C121" s="87">
        <f>0.4+2.8+350+405+2.1</f>
        <v>760.30000000000007</v>
      </c>
      <c r="D121" s="87"/>
      <c r="E121" s="87"/>
    </row>
    <row r="122" spans="1:13" ht="24.95" hidden="1" customHeight="1" x14ac:dyDescent="0.25">
      <c r="A122" s="57" t="s">
        <v>888</v>
      </c>
      <c r="B122" s="86" t="s">
        <v>889</v>
      </c>
      <c r="C122" s="87">
        <v>9.9</v>
      </c>
      <c r="D122" s="87"/>
      <c r="E122" s="87"/>
    </row>
    <row r="123" spans="1:13" ht="24.95" hidden="1" customHeight="1" x14ac:dyDescent="0.25">
      <c r="A123" s="57">
        <v>1591</v>
      </c>
      <c r="B123" s="77" t="s">
        <v>890</v>
      </c>
      <c r="C123" s="87">
        <v>5776</v>
      </c>
      <c r="D123" s="87"/>
      <c r="E123" s="87"/>
    </row>
    <row r="124" spans="1:13" ht="24.95" hidden="1" customHeight="1" x14ac:dyDescent="0.25">
      <c r="A124" s="57">
        <v>1591</v>
      </c>
      <c r="B124" s="77" t="s">
        <v>891</v>
      </c>
      <c r="C124" s="87"/>
      <c r="D124" s="60"/>
      <c r="E124" s="60"/>
      <c r="F124" s="71">
        <f>C124+C123</f>
        <v>5776</v>
      </c>
    </row>
    <row r="125" spans="1:13" s="80" customFormat="1" ht="24.95" customHeight="1" x14ac:dyDescent="0.25">
      <c r="A125" s="79"/>
      <c r="B125" s="85" t="s">
        <v>892</v>
      </c>
      <c r="C125" s="54">
        <v>3229.7</v>
      </c>
      <c r="D125" s="54"/>
      <c r="E125" s="54"/>
    </row>
    <row r="126" spans="1:13" ht="24.95" customHeight="1" x14ac:dyDescent="0.25">
      <c r="B126" s="90" t="s">
        <v>893</v>
      </c>
      <c r="C126" s="91">
        <f>C116+C120+C125</f>
        <v>102975</v>
      </c>
      <c r="D126" s="92"/>
      <c r="E126" s="92"/>
    </row>
    <row r="127" spans="1:13" ht="15" hidden="1" customHeight="1" x14ac:dyDescent="0.25">
      <c r="B127" s="93" t="s">
        <v>894</v>
      </c>
      <c r="C127" s="73">
        <f>C117+C123+C124</f>
        <v>58691</v>
      </c>
      <c r="D127" s="73"/>
      <c r="E127" s="73"/>
    </row>
  </sheetData>
  <sheetProtection algorithmName="SHA-512" hashValue="kON0Q9KmjJIj9z+TKyqOlC87Q3a9qn9LQADrFboOkyfdIJy7qn5F9UHfF7p1XyTEIXwRudLQJbGtV1mEiQD3QQ==" saltValue="0OeTfpSL0NvJmfE8W4hyuA==" spinCount="100000" sheet="1" objects="1" scenarios="1"/>
  <mergeCells count="6">
    <mergeCell ref="B2:C2"/>
    <mergeCell ref="B3:C3"/>
    <mergeCell ref="B4:C4"/>
    <mergeCell ref="B5:C5"/>
    <mergeCell ref="D9:D10"/>
    <mergeCell ref="E9:E11"/>
  </mergeCells>
  <pageMargins left="0.31496062992125984" right="0" top="0" bottom="0"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6EAD8-BB26-4520-BC68-550EB4CA61F4}">
  <sheetPr>
    <tabColor rgb="FF00B050"/>
    <pageSetUpPr fitToPage="1"/>
  </sheetPr>
  <dimension ref="A1:AH43"/>
  <sheetViews>
    <sheetView showGridLines="0" showRowColHeaders="0" workbookViewId="0">
      <selection activeCell="AJ50" sqref="AJ50"/>
    </sheetView>
  </sheetViews>
  <sheetFormatPr defaultColWidth="18.42578125" defaultRowHeight="15.75" x14ac:dyDescent="0.25"/>
  <cols>
    <col min="1" max="1" width="18.42578125" style="173"/>
    <col min="2" max="2" width="88.85546875" style="291" customWidth="1"/>
    <col min="3" max="8" width="0" style="173" hidden="1" customWidth="1"/>
    <col min="9" max="13" width="0" style="161" hidden="1" customWidth="1"/>
    <col min="14" max="14" width="0" style="292" hidden="1" customWidth="1"/>
    <col min="15" max="25" width="0" style="161" hidden="1" customWidth="1"/>
    <col min="26" max="26" width="18.42578125" style="104"/>
    <col min="27" max="27" width="0" style="276" hidden="1" customWidth="1"/>
    <col min="28" max="29" width="0" style="161" hidden="1" customWidth="1"/>
    <col min="30" max="30" width="0" style="276" hidden="1" customWidth="1"/>
    <col min="31" max="32" width="0" style="161" hidden="1" customWidth="1"/>
    <col min="33" max="33" width="0" style="276" hidden="1" customWidth="1"/>
    <col min="34" max="34" width="0" style="161" hidden="1" customWidth="1"/>
    <col min="35" max="16384" width="18.42578125" style="161"/>
  </cols>
  <sheetData>
    <row r="1" spans="1:34" s="98" customFormat="1" ht="26.25" x14ac:dyDescent="0.25">
      <c r="A1" s="94"/>
      <c r="B1" s="95" t="s">
        <v>895</v>
      </c>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7"/>
    </row>
    <row r="2" spans="1:34" s="101" customFormat="1" x14ac:dyDescent="0.25">
      <c r="A2" s="99"/>
      <c r="B2" s="100"/>
      <c r="C2" s="99"/>
      <c r="D2" s="99"/>
      <c r="E2" s="99"/>
      <c r="F2" s="99"/>
      <c r="G2" s="99"/>
      <c r="H2" s="99"/>
      <c r="N2" s="102"/>
      <c r="Z2" s="103" t="s">
        <v>1</v>
      </c>
      <c r="AA2" s="104"/>
      <c r="AD2" s="104"/>
      <c r="AF2" s="105" t="s">
        <v>1</v>
      </c>
      <c r="AG2" s="106"/>
    </row>
    <row r="3" spans="1:34" s="120" customFormat="1" ht="26.25" hidden="1" customHeight="1" x14ac:dyDescent="0.25">
      <c r="A3" s="107"/>
      <c r="B3" s="108"/>
      <c r="C3" s="109"/>
      <c r="D3" s="110" t="s">
        <v>731</v>
      </c>
      <c r="E3" s="111"/>
      <c r="F3" s="112"/>
      <c r="G3" s="113"/>
      <c r="H3" s="113"/>
      <c r="I3" s="114"/>
      <c r="J3" s="115"/>
      <c r="K3" s="107"/>
      <c r="L3" s="116"/>
      <c r="M3" s="117" t="s">
        <v>732</v>
      </c>
      <c r="N3" s="118"/>
      <c r="O3" s="118"/>
      <c r="P3" s="118"/>
      <c r="Q3" s="118"/>
      <c r="R3" s="118"/>
      <c r="S3" s="118"/>
      <c r="T3" s="118"/>
      <c r="U3" s="118"/>
      <c r="V3" s="118"/>
      <c r="W3" s="118"/>
      <c r="X3" s="118"/>
      <c r="Y3" s="118"/>
      <c r="Z3" s="118"/>
      <c r="AA3" s="118"/>
      <c r="AB3" s="118"/>
      <c r="AC3" s="118"/>
      <c r="AD3" s="118"/>
      <c r="AE3" s="118"/>
      <c r="AF3" s="118"/>
      <c r="AG3" s="119"/>
    </row>
    <row r="4" spans="1:34" s="120" customFormat="1" ht="20.25" customHeight="1" x14ac:dyDescent="0.25">
      <c r="A4" s="121" t="s">
        <v>733</v>
      </c>
      <c r="B4" s="121" t="s">
        <v>4</v>
      </c>
      <c r="C4" s="122" t="s">
        <v>734</v>
      </c>
      <c r="D4" s="123"/>
      <c r="E4" s="123"/>
      <c r="F4" s="123"/>
      <c r="G4" s="122" t="s">
        <v>735</v>
      </c>
      <c r="H4" s="124" t="s">
        <v>736</v>
      </c>
      <c r="I4" s="124"/>
      <c r="J4" s="125"/>
      <c r="K4" s="124" t="s">
        <v>737</v>
      </c>
      <c r="L4" s="125"/>
      <c r="M4" s="123"/>
      <c r="N4" s="126"/>
      <c r="O4" s="123"/>
      <c r="P4" s="123"/>
      <c r="Q4" s="123"/>
      <c r="R4" s="123"/>
      <c r="S4" s="123"/>
      <c r="T4" s="123" t="s">
        <v>8</v>
      </c>
      <c r="U4" s="123"/>
      <c r="V4" s="123"/>
      <c r="W4" s="123"/>
      <c r="X4" s="123"/>
      <c r="Y4" s="123"/>
      <c r="Z4" s="122" t="s">
        <v>921</v>
      </c>
      <c r="AA4" s="127"/>
      <c r="AB4" s="128" t="s">
        <v>9</v>
      </c>
      <c r="AC4" s="129" t="s">
        <v>738</v>
      </c>
      <c r="AD4" s="130" t="s">
        <v>739</v>
      </c>
      <c r="AE4" s="131" t="s">
        <v>11</v>
      </c>
      <c r="AF4" s="132" t="s">
        <v>740</v>
      </c>
      <c r="AG4" s="133" t="s">
        <v>741</v>
      </c>
    </row>
    <row r="5" spans="1:34" s="120" customFormat="1" ht="44.25" customHeight="1" x14ac:dyDescent="0.25">
      <c r="A5" s="121"/>
      <c r="B5" s="121"/>
      <c r="C5" s="122"/>
      <c r="D5" s="123" t="s">
        <v>13</v>
      </c>
      <c r="E5" s="123" t="s">
        <v>14</v>
      </c>
      <c r="F5" s="123" t="s">
        <v>15</v>
      </c>
      <c r="G5" s="122"/>
      <c r="H5" s="124"/>
      <c r="I5" s="124"/>
      <c r="J5" s="125"/>
      <c r="K5" s="124"/>
      <c r="L5" s="125"/>
      <c r="M5" s="123" t="s">
        <v>742</v>
      </c>
      <c r="N5" s="126" t="s">
        <v>235</v>
      </c>
      <c r="O5" s="125" t="s">
        <v>743</v>
      </c>
      <c r="P5" s="125" t="s">
        <v>17</v>
      </c>
      <c r="Q5" s="125" t="s">
        <v>744</v>
      </c>
      <c r="R5" s="125" t="s">
        <v>745</v>
      </c>
      <c r="S5" s="125" t="s">
        <v>746</v>
      </c>
      <c r="T5" s="125" t="s">
        <v>747</v>
      </c>
      <c r="U5" s="125" t="s">
        <v>18</v>
      </c>
      <c r="V5" s="125" t="s">
        <v>748</v>
      </c>
      <c r="W5" s="125" t="s">
        <v>469</v>
      </c>
      <c r="X5" s="125" t="s">
        <v>749</v>
      </c>
      <c r="Y5" s="125" t="s">
        <v>19</v>
      </c>
      <c r="Z5" s="122"/>
      <c r="AA5" s="134" t="s">
        <v>20</v>
      </c>
      <c r="AB5" s="128"/>
      <c r="AC5" s="129"/>
      <c r="AD5" s="130"/>
      <c r="AE5" s="131"/>
      <c r="AF5" s="132"/>
      <c r="AG5" s="130"/>
    </row>
    <row r="6" spans="1:34" s="120" customFormat="1" ht="12" customHeight="1" x14ac:dyDescent="0.25">
      <c r="A6" s="135">
        <v>1</v>
      </c>
      <c r="B6" s="135">
        <v>2</v>
      </c>
      <c r="C6" s="135">
        <v>3</v>
      </c>
      <c r="D6" s="136" t="s">
        <v>21</v>
      </c>
      <c r="E6" s="137" t="s">
        <v>22</v>
      </c>
      <c r="F6" s="137" t="s">
        <v>23</v>
      </c>
      <c r="G6" s="138">
        <v>4</v>
      </c>
      <c r="H6" s="139" t="s">
        <v>24</v>
      </c>
      <c r="I6" s="135">
        <v>5</v>
      </c>
      <c r="J6" s="135">
        <v>6</v>
      </c>
      <c r="K6" s="140">
        <v>7</v>
      </c>
      <c r="L6" s="140"/>
      <c r="M6" s="136">
        <v>8</v>
      </c>
      <c r="N6" s="141" t="s">
        <v>25</v>
      </c>
      <c r="O6" s="137">
        <v>9</v>
      </c>
      <c r="P6" s="137" t="s">
        <v>26</v>
      </c>
      <c r="Q6" s="136">
        <v>10</v>
      </c>
      <c r="R6" s="136">
        <v>11</v>
      </c>
      <c r="S6" s="136">
        <v>12</v>
      </c>
      <c r="T6" s="136">
        <v>13</v>
      </c>
      <c r="U6" s="142"/>
      <c r="V6" s="136">
        <v>14</v>
      </c>
      <c r="W6" s="136">
        <v>15</v>
      </c>
      <c r="X6" s="136" t="s">
        <v>27</v>
      </c>
      <c r="Y6" s="139">
        <v>0</v>
      </c>
      <c r="Z6" s="143">
        <v>3</v>
      </c>
      <c r="AA6" s="144">
        <v>17</v>
      </c>
      <c r="AB6" s="145">
        <v>18</v>
      </c>
      <c r="AC6" s="146">
        <v>19</v>
      </c>
      <c r="AD6" s="144">
        <v>20</v>
      </c>
      <c r="AE6" s="147">
        <v>21</v>
      </c>
      <c r="AF6" s="148">
        <v>22</v>
      </c>
      <c r="AG6" s="120">
        <v>23</v>
      </c>
    </row>
    <row r="7" spans="1:34" ht="31.5" customHeight="1" x14ac:dyDescent="0.25">
      <c r="A7" s="149">
        <v>31</v>
      </c>
      <c r="B7" s="150" t="s">
        <v>28</v>
      </c>
      <c r="C7" s="151">
        <f>'[2]31 pr.2023'!C5</f>
        <v>16848</v>
      </c>
      <c r="D7" s="151">
        <f>'[2]31 pr.2023'!D5</f>
        <v>8167.7000000000007</v>
      </c>
      <c r="E7" s="151">
        <f>'[2]31 pr.2023'!E5</f>
        <v>8</v>
      </c>
      <c r="F7" s="151">
        <f>'[2]31 pr.2023'!F5</f>
        <v>1315.9</v>
      </c>
      <c r="G7" s="151">
        <f>'[2]31 pr.2023'!G5</f>
        <v>18961.099999999999</v>
      </c>
      <c r="H7" s="151">
        <f>'[2]31 pr.2023'!H5</f>
        <v>0</v>
      </c>
      <c r="I7" s="151">
        <f>'[2]31 pr.2023'!I5</f>
        <v>0</v>
      </c>
      <c r="J7" s="151">
        <f>'[2]31 pr.2023'!J5</f>
        <v>0</v>
      </c>
      <c r="K7" s="151">
        <f>'[2]31 pr.2023'!K5</f>
        <v>0</v>
      </c>
      <c r="L7" s="151">
        <f>'[2]31 pr.2023'!L5</f>
        <v>0</v>
      </c>
      <c r="M7" s="152">
        <f>'[2]31 pr.2023'!M5</f>
        <v>12359.6</v>
      </c>
      <c r="N7" s="153">
        <f>'[2]31 pr.2023'!N5</f>
        <v>4191.9000000000005</v>
      </c>
      <c r="O7" s="151">
        <f>'[2]31 pr.2023'!O5</f>
        <v>8</v>
      </c>
      <c r="P7" s="151">
        <f>'[2]31 pr.2023'!P5</f>
        <v>0</v>
      </c>
      <c r="Q7" s="152">
        <f>'[2]31 pr.2023'!Q5</f>
        <v>0</v>
      </c>
      <c r="R7" s="152">
        <f>'[2]31 pr.2023'!R5</f>
        <v>20</v>
      </c>
      <c r="S7" s="152">
        <f>'[2]31 pr.2023'!S5</f>
        <v>3019.4</v>
      </c>
      <c r="T7" s="152">
        <f>'[2]31 pr.2023'!T5</f>
        <v>4700.6000000000004</v>
      </c>
      <c r="U7" s="152">
        <f>'[2]31 pr.2023'!U5</f>
        <v>7740</v>
      </c>
      <c r="V7" s="152">
        <f>'[2]31 pr.2023'!V5</f>
        <v>2136</v>
      </c>
      <c r="W7" s="152">
        <f>'[2]31 pr.2023'!W5</f>
        <v>405</v>
      </c>
      <c r="X7" s="152">
        <f>'[2]31 pr.2023'!X5</f>
        <v>0</v>
      </c>
      <c r="Y7" s="151">
        <f>'[2]31 pr.2023'!Y5</f>
        <v>0</v>
      </c>
      <c r="Z7" s="84">
        <f>+'31 pr.2024'!Z6</f>
        <v>24216.300000000003</v>
      </c>
      <c r="AA7" s="154">
        <f>'[2]31 pr.2023'!AA5</f>
        <v>0</v>
      </c>
      <c r="AB7" s="155">
        <f>'[2]31 pr.2023'!AB5</f>
        <v>7598.6</v>
      </c>
      <c r="AC7" s="156">
        <f>'[2]31 pr.2023'!AC5</f>
        <v>0</v>
      </c>
      <c r="AD7" s="157">
        <f>'[2]31 pr.2023'!AD5</f>
        <v>30247.199999999997</v>
      </c>
      <c r="AE7" s="158">
        <f>'[2]31 pr.2023'!AE5</f>
        <v>343.6</v>
      </c>
      <c r="AF7" s="159">
        <f>'[2]31 pr.2023'!AF5</f>
        <v>0</v>
      </c>
      <c r="AG7" s="157">
        <f>'[2]31 pr.2023'!AG5</f>
        <v>30590.799999999996</v>
      </c>
      <c r="AH7" s="160">
        <f>+Z7/$Z$10</f>
        <v>0.23516678805535321</v>
      </c>
    </row>
    <row r="8" spans="1:34" ht="31.5" customHeight="1" x14ac:dyDescent="0.25">
      <c r="A8" s="149">
        <v>32</v>
      </c>
      <c r="B8" s="162" t="s">
        <v>237</v>
      </c>
      <c r="C8" s="151">
        <f>'[2]32 pr.2023'!C6</f>
        <v>20797.400000000001</v>
      </c>
      <c r="D8" s="151">
        <f>'[2]32 pr.2023'!D6</f>
        <v>12521</v>
      </c>
      <c r="E8" s="151">
        <f>'[2]32 pr.2023'!E6</f>
        <v>285</v>
      </c>
      <c r="F8" s="151">
        <f>'[2]32 pr.2023'!F6</f>
        <v>3113.2000000000003</v>
      </c>
      <c r="G8" s="151">
        <f>'[2]32 pr.2023'!G6</f>
        <v>22846.5</v>
      </c>
      <c r="H8" s="151">
        <f>'[2]32 pr.2023'!H6</f>
        <v>0</v>
      </c>
      <c r="I8" s="151">
        <f>'[2]32 pr.2023'!I6</f>
        <v>0</v>
      </c>
      <c r="J8" s="151">
        <f>'[2]32 pr.2023'!J6</f>
        <v>0</v>
      </c>
      <c r="K8" s="151">
        <f>'[2]32 pr.2023'!K6</f>
        <v>0</v>
      </c>
      <c r="L8" s="151">
        <f>'[2]32 pr.2023'!L6</f>
        <v>0</v>
      </c>
      <c r="M8" s="152">
        <f>'[2]32 pr.2023'!M6</f>
        <v>12689.099999999999</v>
      </c>
      <c r="N8" s="153">
        <f>'[2]32 pr.2023'!N6</f>
        <v>168.0999999999998</v>
      </c>
      <c r="O8" s="151">
        <f>'[2]32 pr.2023'!O6</f>
        <v>292.2</v>
      </c>
      <c r="P8" s="151">
        <f>'[2]32 pr.2023'!P6</f>
        <v>0</v>
      </c>
      <c r="Q8" s="152">
        <f>'[2]32 pr.2023'!Q6</f>
        <v>0</v>
      </c>
      <c r="R8" s="152">
        <f>'[2]32 pr.2023'!R6</f>
        <v>4472.8</v>
      </c>
      <c r="S8" s="152">
        <f>'[2]32 pr.2023'!S6</f>
        <v>486.9</v>
      </c>
      <c r="T8" s="152">
        <f>'[2]32 pr.2023'!T6</f>
        <v>508.7</v>
      </c>
      <c r="U8" s="152">
        <f>'[2]32 pr.2023'!U6</f>
        <v>5468.4000000000005</v>
      </c>
      <c r="V8" s="152">
        <f>'[2]32 pr.2023'!V6</f>
        <v>34</v>
      </c>
      <c r="W8" s="152">
        <f>'[2]32 pr.2023'!W6</f>
        <v>6141.2</v>
      </c>
      <c r="X8" s="152">
        <f>'[2]32 pr.2023'!X6</f>
        <v>0</v>
      </c>
      <c r="Y8" s="151">
        <f>'[2]32 pr.2023'!Y6</f>
        <v>0</v>
      </c>
      <c r="Z8" s="84">
        <f>+'32 pr.2024'!Z6</f>
        <v>25411.7</v>
      </c>
      <c r="AA8" s="154">
        <f>'[2]32 pr.2023'!AA6</f>
        <v>0</v>
      </c>
      <c r="AB8" s="155">
        <f>'[2]32 pr.2023'!AB6</f>
        <v>3466.8</v>
      </c>
      <c r="AC8" s="156">
        <f>'[2]32 pr.2023'!AC6</f>
        <v>0</v>
      </c>
      <c r="AD8" s="157">
        <f>'[2]32 pr.2023'!AD6</f>
        <v>28091.7</v>
      </c>
      <c r="AE8" s="158">
        <f>'[2]32 pr.2023'!AE6</f>
        <v>79.2</v>
      </c>
      <c r="AF8" s="159">
        <f>'[2]32 pr.2023'!AF6</f>
        <v>0</v>
      </c>
      <c r="AG8" s="157">
        <f>'[2]32 pr.2023'!AG6</f>
        <v>28170.9</v>
      </c>
      <c r="AH8" s="160">
        <f t="shared" ref="AH8:AH9" si="0">+Z8/$Z$10</f>
        <v>0.24677543092983728</v>
      </c>
    </row>
    <row r="9" spans="1:34" ht="31.5" customHeight="1" x14ac:dyDescent="0.25">
      <c r="A9" s="149">
        <v>33</v>
      </c>
      <c r="B9" s="162" t="s">
        <v>470</v>
      </c>
      <c r="C9" s="151">
        <f>'[2]33 pr.2023'!C6</f>
        <v>45733.899999999994</v>
      </c>
      <c r="D9" s="151">
        <f>'[2]33 pr.2023'!D6</f>
        <v>19914.300000000003</v>
      </c>
      <c r="E9" s="151">
        <f>'[2]33 pr.2023'!E6</f>
        <v>1519.2</v>
      </c>
      <c r="F9" s="151">
        <f>'[2]33 pr.2023'!F6</f>
        <v>2568.3999999999996</v>
      </c>
      <c r="G9" s="151">
        <f>'[2]33 pr.2023'!G6</f>
        <v>47307.399999999987</v>
      </c>
      <c r="H9" s="151">
        <f>'[2]33 pr.2023'!H6</f>
        <v>0</v>
      </c>
      <c r="I9" s="151">
        <f>'[2]33 pr.2023'!I6</f>
        <v>0</v>
      </c>
      <c r="J9" s="151">
        <f>'[2]33 pr.2023'!J6</f>
        <v>0</v>
      </c>
      <c r="K9" s="151">
        <f>'[2]33 pr.2023'!K6</f>
        <v>0</v>
      </c>
      <c r="L9" s="151">
        <f>'[2]33 pr.2023'!L6</f>
        <v>0</v>
      </c>
      <c r="M9" s="152">
        <f>'[2]33 pr.2023'!M6</f>
        <v>21405.3</v>
      </c>
      <c r="N9" s="153">
        <f>'[2]33 pr.2023'!N6</f>
        <v>1490.9999999999973</v>
      </c>
      <c r="O9" s="151">
        <f>'[2]33 pr.2023'!O6</f>
        <v>1692.9</v>
      </c>
      <c r="P9" s="151">
        <f>'[2]33 pr.2023'!P6</f>
        <v>0</v>
      </c>
      <c r="Q9" s="152">
        <f>'[2]33 pr.2023'!Q6</f>
        <v>21185.899999999994</v>
      </c>
      <c r="R9" s="152">
        <f>'[2]33 pr.2023'!R6</f>
        <v>22.6</v>
      </c>
      <c r="S9" s="152">
        <f>'[2]33 pr.2023'!S6</f>
        <v>625.9</v>
      </c>
      <c r="T9" s="152">
        <f>'[2]33 pr.2023'!T6</f>
        <v>137.19999999999999</v>
      </c>
      <c r="U9" s="152">
        <f>'[2]33 pr.2023'!U6</f>
        <v>21971.599999999995</v>
      </c>
      <c r="V9" s="152">
        <f>'[2]33 pr.2023'!V6</f>
        <v>0</v>
      </c>
      <c r="W9" s="152">
        <f>'[2]33 pr.2023'!W6</f>
        <v>0</v>
      </c>
      <c r="X9" s="152">
        <f>'[2]33 pr.2023'!X6</f>
        <v>0</v>
      </c>
      <c r="Y9" s="151">
        <f>'[2]33 pr.2023'!Y6</f>
        <v>0</v>
      </c>
      <c r="Z9" s="84">
        <f>+'33 pr.2024'!Z6</f>
        <v>53347.000000000022</v>
      </c>
      <c r="AA9" s="154">
        <f>'[2]33 pr.2023'!AA6</f>
        <v>0</v>
      </c>
      <c r="AB9" s="155">
        <f>'[2]33 pr.2023'!AB6</f>
        <v>9157.5999999999985</v>
      </c>
      <c r="AC9" s="156">
        <f>'[2]33 pr.2023'!AC6</f>
        <v>0</v>
      </c>
      <c r="AD9" s="157">
        <f>'[2]33 pr.2023'!AD6</f>
        <v>54227.399999999994</v>
      </c>
      <c r="AE9" s="158">
        <f>'[2]33 pr.2023'!AE6</f>
        <v>12</v>
      </c>
      <c r="AF9" s="159">
        <f>'[2]33 pr.2023'!AF6</f>
        <v>0</v>
      </c>
      <c r="AG9" s="157">
        <f>'[2]33 pr.2023'!AG6</f>
        <v>54239.399999999994</v>
      </c>
      <c r="AH9" s="160">
        <f t="shared" si="0"/>
        <v>0.51805778101480948</v>
      </c>
    </row>
    <row r="10" spans="1:34" s="172" customFormat="1" ht="31.5" customHeight="1" x14ac:dyDescent="0.25">
      <c r="A10" s="163"/>
      <c r="B10" s="164" t="s">
        <v>750</v>
      </c>
      <c r="C10" s="165">
        <f t="shared" ref="C10:AG10" si="1">SUM(C7:C9)</f>
        <v>83379.299999999988</v>
      </c>
      <c r="D10" s="165">
        <f t="shared" si="1"/>
        <v>40603</v>
      </c>
      <c r="E10" s="165">
        <f t="shared" si="1"/>
        <v>1812.2</v>
      </c>
      <c r="F10" s="165">
        <f t="shared" si="1"/>
        <v>6997.5</v>
      </c>
      <c r="G10" s="165">
        <f t="shared" si="1"/>
        <v>89114.999999999985</v>
      </c>
      <c r="H10" s="165">
        <f t="shared" si="1"/>
        <v>0</v>
      </c>
      <c r="I10" s="165">
        <f t="shared" si="1"/>
        <v>0</v>
      </c>
      <c r="J10" s="165">
        <f t="shared" si="1"/>
        <v>0</v>
      </c>
      <c r="K10" s="165">
        <f t="shared" si="1"/>
        <v>0</v>
      </c>
      <c r="L10" s="165">
        <f t="shared" si="1"/>
        <v>0</v>
      </c>
      <c r="M10" s="165">
        <f t="shared" si="1"/>
        <v>46454</v>
      </c>
      <c r="N10" s="166">
        <f t="shared" si="1"/>
        <v>5850.9999999999973</v>
      </c>
      <c r="O10" s="165">
        <f t="shared" si="1"/>
        <v>1993.1000000000001</v>
      </c>
      <c r="P10" s="165">
        <f t="shared" si="1"/>
        <v>0</v>
      </c>
      <c r="Q10" s="165">
        <f t="shared" si="1"/>
        <v>21185.899999999994</v>
      </c>
      <c r="R10" s="165">
        <f t="shared" si="1"/>
        <v>4515.4000000000005</v>
      </c>
      <c r="S10" s="165">
        <f t="shared" si="1"/>
        <v>4132.2</v>
      </c>
      <c r="T10" s="165">
        <f t="shared" si="1"/>
        <v>5346.5</v>
      </c>
      <c r="U10" s="165">
        <f t="shared" si="1"/>
        <v>35180</v>
      </c>
      <c r="V10" s="165">
        <f t="shared" si="1"/>
        <v>2170</v>
      </c>
      <c r="W10" s="165">
        <f t="shared" si="1"/>
        <v>6546.2</v>
      </c>
      <c r="X10" s="165">
        <f t="shared" si="1"/>
        <v>0</v>
      </c>
      <c r="Y10" s="165">
        <f t="shared" si="1"/>
        <v>0</v>
      </c>
      <c r="Z10" s="167">
        <f t="shared" si="1"/>
        <v>102975.00000000003</v>
      </c>
      <c r="AA10" s="168">
        <f t="shared" si="1"/>
        <v>0</v>
      </c>
      <c r="AB10" s="169">
        <f t="shared" si="1"/>
        <v>20223</v>
      </c>
      <c r="AC10" s="170">
        <f t="shared" si="1"/>
        <v>0</v>
      </c>
      <c r="AD10" s="168">
        <f t="shared" si="1"/>
        <v>112566.29999999999</v>
      </c>
      <c r="AE10" s="171">
        <f t="shared" si="1"/>
        <v>434.8</v>
      </c>
      <c r="AF10" s="168">
        <f t="shared" si="1"/>
        <v>0</v>
      </c>
      <c r="AG10" s="168">
        <f t="shared" si="1"/>
        <v>113001.09999999999</v>
      </c>
    </row>
    <row r="11" spans="1:34" ht="12" hidden="1" customHeight="1" thickBot="1" x14ac:dyDescent="0.3">
      <c r="B11" s="174" t="s">
        <v>751</v>
      </c>
      <c r="C11" s="175">
        <v>83379.3</v>
      </c>
      <c r="D11" s="175">
        <v>40603</v>
      </c>
      <c r="E11" s="175">
        <v>1812.2</v>
      </c>
      <c r="F11" s="175">
        <v>6997.5</v>
      </c>
      <c r="G11" s="176"/>
      <c r="H11" s="175"/>
      <c r="I11" s="177" t="e">
        <f>'[2]31 pr.2023'!#REF!+'[2]32 pr.2023'!#REF!+'[2]33 pr.2023'!#REF!+'[2]24 programa'!I32+'[2] 25 programa'!I21+'[2]26 programa'!H61+'[2]27 programa'!I18+'[2]28 programa'!H37+'[2]29 programa'!H69+'[2]30 programa'!H18</f>
        <v>#REF!</v>
      </c>
      <c r="J11" s="178"/>
      <c r="K11" s="179"/>
      <c r="L11" s="180"/>
      <c r="M11" s="181">
        <f>'[2]2023 m paj'!C116</f>
        <v>46454</v>
      </c>
      <c r="N11" s="182" t="s">
        <v>752</v>
      </c>
      <c r="O11" s="183">
        <f>'[2]2023 m paj'!C103</f>
        <v>1993.1</v>
      </c>
      <c r="P11" s="184"/>
      <c r="Q11" s="185">
        <f>'[2]2023 m paj'!C39</f>
        <v>21185.9</v>
      </c>
      <c r="R11" s="183">
        <f>'[2]2023 m paj'!C40</f>
        <v>4515.3999999999996</v>
      </c>
      <c r="S11" s="186">
        <f>'[2]2023 m paj'!C67+'[2]2023 m paj'!C68+'[2]2023 m paj'!C69+'[2]2023 m paj'!C70+'[2]2023 m paj'!C71+'[2]2023 m paj'!C72+'[2]2023 m paj'!C73+'[2]2023 m paj'!C74+'[2]2023 m paj'!C75+'[2]2023 m paj'!C76+'[2]2023 m paj'!C77+'[2]2023 m paj'!C78+'[2]2023 m paj'!C79+'[2]2023 m paj'!C80+'[2]2023 m paj'!C81+'[2]2023 m paj'!C82+'[2]2023 m paj'!C83+'[2]2023 m paj'!C84+'[2]2023 m paj'!C85+'[2]2023 m paj'!C86+'[2]2023 m paj'!C87+'[2]2023 m paj'!C88</f>
        <v>4132.2</v>
      </c>
      <c r="T11" s="187">
        <f>'[2]2023 m paj'!C36</f>
        <v>5346.5</v>
      </c>
      <c r="U11" s="186">
        <f>'[2]2023 m paj'!C35</f>
        <v>35180.000000000007</v>
      </c>
      <c r="V11" s="187">
        <f>'[2]2023 m paj'!C34+'[2]2023 m paj'!C101+'[2]2023 m paj'!C110</f>
        <v>2170</v>
      </c>
      <c r="W11" s="185">
        <f>'[2]2023 m paj'!C124</f>
        <v>6546.2</v>
      </c>
      <c r="X11" s="185"/>
      <c r="Y11" s="184"/>
      <c r="Z11" s="188"/>
      <c r="AA11" s="189"/>
      <c r="AC11" s="190"/>
      <c r="AD11" s="191" t="s">
        <v>753</v>
      </c>
      <c r="AE11" s="192"/>
      <c r="AF11" s="193" t="s">
        <v>754</v>
      </c>
      <c r="AG11" s="194">
        <f>M11-M10-AB10-AE10</f>
        <v>-20657.8</v>
      </c>
    </row>
    <row r="12" spans="1:34" ht="13.5" hidden="1" customHeight="1" thickBot="1" x14ac:dyDescent="0.3">
      <c r="B12" s="195" t="s">
        <v>755</v>
      </c>
      <c r="C12" s="196">
        <f>C11-C10</f>
        <v>0</v>
      </c>
      <c r="D12" s="196">
        <f>D11-D10</f>
        <v>0</v>
      </c>
      <c r="E12" s="196">
        <f>E11-E10</f>
        <v>0</v>
      </c>
      <c r="F12" s="196">
        <f>F11-F10</f>
        <v>0</v>
      </c>
      <c r="G12" s="197"/>
      <c r="H12" s="197"/>
      <c r="I12" s="177"/>
      <c r="J12" s="179"/>
      <c r="K12" s="198"/>
      <c r="L12" s="199"/>
      <c r="M12" s="200">
        <f>M11-M10</f>
        <v>0</v>
      </c>
      <c r="N12" s="201"/>
      <c r="O12" s="202">
        <f>O11-O10</f>
        <v>0</v>
      </c>
      <c r="P12" s="202">
        <f>P11-P10</f>
        <v>0</v>
      </c>
      <c r="Q12" s="202">
        <f>Q11-Q10</f>
        <v>0</v>
      </c>
      <c r="R12" s="202">
        <f>R11-R10</f>
        <v>0</v>
      </c>
      <c r="S12" s="202">
        <f>S11-S10</f>
        <v>0</v>
      </c>
      <c r="T12" s="202">
        <f t="shared" ref="T12:Y12" si="2">T11-T10</f>
        <v>0</v>
      </c>
      <c r="U12" s="202">
        <f t="shared" si="2"/>
        <v>0</v>
      </c>
      <c r="V12" s="202">
        <f t="shared" si="2"/>
        <v>0</v>
      </c>
      <c r="W12" s="202">
        <f t="shared" si="2"/>
        <v>0</v>
      </c>
      <c r="X12" s="202">
        <f t="shared" si="2"/>
        <v>0</v>
      </c>
      <c r="Y12" s="202">
        <f t="shared" si="2"/>
        <v>0</v>
      </c>
      <c r="Z12" s="188"/>
      <c r="AA12" s="189"/>
      <c r="AC12" s="203"/>
      <c r="AD12" s="99"/>
      <c r="AE12" s="103"/>
      <c r="AF12" s="204"/>
      <c r="AG12" s="104"/>
    </row>
    <row r="13" spans="1:34" s="101" customFormat="1" ht="15.75" hidden="1" customHeight="1" x14ac:dyDescent="0.25">
      <c r="A13" s="103"/>
      <c r="B13" s="205" t="s">
        <v>756</v>
      </c>
      <c r="C13" s="206" t="e">
        <f>'[2]33 pr.2023'!#REF!+'[2]32 pr.2023'!#REF!</f>
        <v>#REF!</v>
      </c>
      <c r="D13" s="206" t="e">
        <f>'[2]33 pr.2023'!#REF!+'[2]32 pr.2023'!#REF!</f>
        <v>#REF!</v>
      </c>
      <c r="E13" s="206" t="e">
        <f>'[2]33 pr.2023'!#REF!+'[2]32 pr.2023'!#REF!</f>
        <v>#REF!</v>
      </c>
      <c r="F13" s="206" t="e">
        <f>'[2]33 pr.2023'!#REF!+'[2]32 pr.2023'!#REF!</f>
        <v>#REF!</v>
      </c>
      <c r="G13" s="206" t="e">
        <f>'[2]33 pr.2023'!#REF!+'[2]32 pr.2023'!#REF!</f>
        <v>#REF!</v>
      </c>
      <c r="H13" s="207" t="e">
        <f>G13-C13</f>
        <v>#REF!</v>
      </c>
      <c r="I13" s="208"/>
      <c r="J13" s="209"/>
      <c r="K13" s="209"/>
      <c r="L13" s="180"/>
      <c r="M13" s="210"/>
      <c r="N13" s="211"/>
      <c r="O13" s="204"/>
      <c r="Q13" s="212"/>
      <c r="R13" s="204"/>
      <c r="S13" s="213"/>
      <c r="T13" s="214"/>
      <c r="U13" s="213"/>
      <c r="V13" s="214"/>
      <c r="W13" s="212"/>
      <c r="X13" s="212"/>
      <c r="Z13" s="188"/>
      <c r="AA13" s="188"/>
      <c r="AC13" s="203"/>
      <c r="AD13" s="99"/>
      <c r="AE13" s="103"/>
      <c r="AF13" s="204"/>
      <c r="AG13" s="104"/>
    </row>
    <row r="14" spans="1:34" s="101" customFormat="1" ht="15.75" hidden="1" customHeight="1" x14ac:dyDescent="0.25">
      <c r="A14" s="103"/>
      <c r="B14" s="215" t="s">
        <v>757</v>
      </c>
      <c r="C14" s="216" t="e">
        <f>'[2]32 pr.2023'!#REF!</f>
        <v>#REF!</v>
      </c>
      <c r="D14" s="216" t="e">
        <f>'[2]32 pr.2023'!#REF!</f>
        <v>#REF!</v>
      </c>
      <c r="E14" s="216" t="e">
        <f>'[2]32 pr.2023'!#REF!</f>
        <v>#REF!</v>
      </c>
      <c r="F14" s="216" t="e">
        <f>'[2]32 pr.2023'!#REF!</f>
        <v>#REF!</v>
      </c>
      <c r="G14" s="216" t="e">
        <f>'[2]32 pr.2023'!#REF!</f>
        <v>#REF!</v>
      </c>
      <c r="H14" s="207"/>
      <c r="I14" s="208"/>
      <c r="J14" s="209"/>
      <c r="K14" s="209"/>
      <c r="L14" s="180"/>
      <c r="M14" s="217"/>
      <c r="N14" s="211"/>
      <c r="O14" s="204"/>
      <c r="Q14" s="212"/>
      <c r="R14" s="204"/>
      <c r="S14" s="213"/>
      <c r="T14" s="214"/>
      <c r="U14" s="213"/>
      <c r="V14" s="214"/>
      <c r="W14" s="212"/>
      <c r="X14" s="212"/>
      <c r="Z14" s="188"/>
      <c r="AA14" s="188"/>
      <c r="AC14" s="203"/>
      <c r="AD14" s="99"/>
      <c r="AE14" s="103"/>
      <c r="AF14" s="204"/>
      <c r="AG14" s="104"/>
    </row>
    <row r="15" spans="1:34" s="101" customFormat="1" ht="15.75" hidden="1" customHeight="1" x14ac:dyDescent="0.25">
      <c r="A15" s="103"/>
      <c r="B15" s="218" t="s">
        <v>758</v>
      </c>
      <c r="C15" s="219" t="e">
        <f>'[2]32 pr.2023'!#REF!+'[2]33 pr.2023'!#REF!</f>
        <v>#REF!</v>
      </c>
      <c r="D15" s="219" t="e">
        <f>'[2]32 pr.2023'!#REF!+'[2]33 pr.2023'!#REF!</f>
        <v>#REF!</v>
      </c>
      <c r="E15" s="219" t="e">
        <f>'[2]32 pr.2023'!#REF!+'[2]33 pr.2023'!#REF!</f>
        <v>#REF!</v>
      </c>
      <c r="F15" s="219" t="e">
        <f>'[2]32 pr.2023'!#REF!+'[2]33 pr.2023'!#REF!</f>
        <v>#REF!</v>
      </c>
      <c r="G15" s="219" t="e">
        <f>'[2]32 pr.2023'!#REF!+'[2]33 pr.2023'!#REF!</f>
        <v>#REF!</v>
      </c>
      <c r="H15" s="207"/>
      <c r="I15" s="208"/>
      <c r="J15" s="209"/>
      <c r="K15" s="209"/>
      <c r="L15" s="220"/>
      <c r="M15" s="217"/>
      <c r="N15" s="211"/>
      <c r="O15" s="204"/>
      <c r="Q15" s="212"/>
      <c r="R15" s="204"/>
      <c r="S15" s="213"/>
      <c r="T15" s="214"/>
      <c r="U15" s="213"/>
      <c r="V15" s="214"/>
      <c r="W15" s="212"/>
      <c r="X15" s="212"/>
      <c r="Z15" s="188"/>
      <c r="AA15" s="188"/>
      <c r="AC15" s="203"/>
      <c r="AD15" s="99"/>
      <c r="AE15" s="103"/>
      <c r="AF15" s="204"/>
      <c r="AG15" s="104"/>
    </row>
    <row r="16" spans="1:34" s="101" customFormat="1" ht="15.75" hidden="1" customHeight="1" x14ac:dyDescent="0.25">
      <c r="A16" s="103"/>
      <c r="B16" s="221" t="s">
        <v>759</v>
      </c>
      <c r="C16" s="222" t="e">
        <f>'[2]33 pr.2023'!#REF!</f>
        <v>#REF!</v>
      </c>
      <c r="D16" s="222" t="e">
        <f>'[2]33 pr.2023'!#REF!</f>
        <v>#REF!</v>
      </c>
      <c r="E16" s="222" t="e">
        <f>'[2]33 pr.2023'!#REF!</f>
        <v>#REF!</v>
      </c>
      <c r="F16" s="222" t="e">
        <f>'[2]33 pr.2023'!#REF!</f>
        <v>#REF!</v>
      </c>
      <c r="G16" s="222" t="e">
        <f>'[2]33 pr.2023'!#REF!</f>
        <v>#REF!</v>
      </c>
      <c r="H16" s="207"/>
      <c r="I16" s="208"/>
      <c r="J16" s="209"/>
      <c r="K16" s="209"/>
      <c r="L16" s="220"/>
      <c r="M16" s="217"/>
      <c r="N16" s="211"/>
      <c r="O16" s="204"/>
      <c r="Q16" s="212"/>
      <c r="R16" s="204"/>
      <c r="S16" s="213"/>
      <c r="T16" s="214"/>
      <c r="U16" s="213"/>
      <c r="V16" s="214"/>
      <c r="W16" s="212"/>
      <c r="X16" s="212"/>
      <c r="Z16" s="188"/>
      <c r="AA16" s="188"/>
      <c r="AC16" s="203"/>
      <c r="AD16" s="99"/>
      <c r="AE16" s="103"/>
      <c r="AF16" s="204"/>
      <c r="AG16" s="104"/>
    </row>
    <row r="17" spans="1:33" s="101" customFormat="1" ht="15.75" hidden="1" customHeight="1" x14ac:dyDescent="0.25">
      <c r="A17" s="103"/>
      <c r="B17" s="223" t="s">
        <v>760</v>
      </c>
      <c r="C17" s="224" t="e">
        <f>'[2]31 pr.2023'!#REF!+'[2]33 pr.2023'!#REF!</f>
        <v>#REF!</v>
      </c>
      <c r="D17" s="224" t="e">
        <f>'[2]31 pr.2023'!#REF!+'[2]33 pr.2023'!#REF!</f>
        <v>#REF!</v>
      </c>
      <c r="E17" s="224" t="e">
        <f>'[2]31 pr.2023'!#REF!+'[2]33 pr.2023'!#REF!</f>
        <v>#REF!</v>
      </c>
      <c r="F17" s="224" t="e">
        <f>'[2]31 pr.2023'!#REF!+'[2]33 pr.2023'!#REF!</f>
        <v>#REF!</v>
      </c>
      <c r="G17" s="224" t="e">
        <f>'[2]31 pr.2023'!#REF!+'[2]33 pr.2023'!#REF!</f>
        <v>#REF!</v>
      </c>
      <c r="H17" s="207"/>
      <c r="I17" s="208"/>
      <c r="J17" s="209"/>
      <c r="K17" s="209"/>
      <c r="L17" s="220"/>
      <c r="M17" s="217"/>
      <c r="N17" s="211"/>
      <c r="O17" s="204"/>
      <c r="Q17" s="212"/>
      <c r="R17" s="204"/>
      <c r="S17" s="213"/>
      <c r="T17" s="214"/>
      <c r="U17" s="213"/>
      <c r="V17" s="214"/>
      <c r="W17" s="212"/>
      <c r="X17" s="212"/>
      <c r="Z17" s="188"/>
      <c r="AA17" s="188"/>
      <c r="AC17" s="203"/>
      <c r="AD17" s="99"/>
      <c r="AE17" s="103"/>
      <c r="AF17" s="204"/>
      <c r="AG17" s="104"/>
    </row>
    <row r="18" spans="1:33" s="101" customFormat="1" ht="15.75" hidden="1" customHeight="1" x14ac:dyDescent="0.25">
      <c r="A18" s="103"/>
      <c r="B18" s="225" t="s">
        <v>761</v>
      </c>
      <c r="C18" s="226" t="e">
        <f>'[2]32 pr.2023'!#REF!+'[2]33 pr.2023'!#REF!</f>
        <v>#REF!</v>
      </c>
      <c r="D18" s="226" t="e">
        <f>'[2]32 pr.2023'!#REF!+'[2]33 pr.2023'!#REF!</f>
        <v>#REF!</v>
      </c>
      <c r="E18" s="226" t="e">
        <f>'[2]32 pr.2023'!#REF!+'[2]33 pr.2023'!#REF!</f>
        <v>#REF!</v>
      </c>
      <c r="F18" s="226" t="e">
        <f>'[2]32 pr.2023'!#REF!+'[2]33 pr.2023'!#REF!</f>
        <v>#REF!</v>
      </c>
      <c r="G18" s="226" t="e">
        <f>'[2]32 pr.2023'!#REF!+'[2]33 pr.2023'!#REF!</f>
        <v>#REF!</v>
      </c>
      <c r="H18" s="207"/>
      <c r="I18" s="208"/>
      <c r="J18" s="209"/>
      <c r="K18" s="209"/>
      <c r="L18" s="220"/>
      <c r="M18" s="217"/>
      <c r="N18" s="211"/>
      <c r="O18" s="204"/>
      <c r="Q18" s="212"/>
      <c r="R18" s="204"/>
      <c r="S18" s="213"/>
      <c r="T18" s="214"/>
      <c r="U18" s="213"/>
      <c r="V18" s="214"/>
      <c r="W18" s="212"/>
      <c r="X18" s="212"/>
      <c r="Z18" s="188"/>
      <c r="AA18" s="188"/>
      <c r="AC18" s="203"/>
      <c r="AD18" s="99"/>
      <c r="AE18" s="103"/>
      <c r="AF18" s="204"/>
      <c r="AG18" s="104"/>
    </row>
    <row r="19" spans="1:33" s="101" customFormat="1" ht="15.75" hidden="1" customHeight="1" x14ac:dyDescent="0.25">
      <c r="A19" s="103"/>
      <c r="B19" s="227" t="s">
        <v>762</v>
      </c>
      <c r="C19" s="228" t="e">
        <f>'[2]33 pr.2023'!#REF!</f>
        <v>#REF!</v>
      </c>
      <c r="D19" s="228" t="e">
        <f>'[2]33 pr.2023'!#REF!</f>
        <v>#REF!</v>
      </c>
      <c r="E19" s="228" t="e">
        <f>'[2]33 pr.2023'!#REF!</f>
        <v>#REF!</v>
      </c>
      <c r="F19" s="228" t="e">
        <f>'[2]33 pr.2023'!#REF!</f>
        <v>#REF!</v>
      </c>
      <c r="G19" s="228" t="e">
        <f>'[2]33 pr.2023'!#REF!</f>
        <v>#REF!</v>
      </c>
      <c r="H19" s="207"/>
      <c r="I19" s="208"/>
      <c r="J19" s="209"/>
      <c r="K19" s="209"/>
      <c r="L19" s="220"/>
      <c r="M19" s="217"/>
      <c r="N19" s="211"/>
      <c r="O19" s="204"/>
      <c r="Q19" s="212"/>
      <c r="R19" s="204"/>
      <c r="S19" s="213"/>
      <c r="T19" s="214"/>
      <c r="U19" s="213"/>
      <c r="V19" s="214"/>
      <c r="W19" s="212"/>
      <c r="X19" s="212"/>
      <c r="Z19" s="188"/>
      <c r="AA19" s="188"/>
      <c r="AC19" s="203"/>
      <c r="AD19" s="99"/>
      <c r="AE19" s="103"/>
      <c r="AF19" s="204"/>
      <c r="AG19" s="104"/>
    </row>
    <row r="20" spans="1:33" s="101" customFormat="1" ht="15.75" hidden="1" customHeight="1" x14ac:dyDescent="0.25">
      <c r="A20" s="103"/>
      <c r="B20" s="229">
        <v>28</v>
      </c>
      <c r="C20" s="230" t="e">
        <f>'[2]31 pr.2023'!#REF!</f>
        <v>#REF!</v>
      </c>
      <c r="D20" s="230" t="e">
        <f>'[2]31 pr.2023'!#REF!</f>
        <v>#REF!</v>
      </c>
      <c r="E20" s="230" t="e">
        <f>'[2]31 pr.2023'!#REF!</f>
        <v>#REF!</v>
      </c>
      <c r="F20" s="230" t="e">
        <f>'[2]31 pr.2023'!#REF!</f>
        <v>#REF!</v>
      </c>
      <c r="G20" s="230" t="e">
        <f>'[2]31 pr.2023'!#REF!</f>
        <v>#REF!</v>
      </c>
      <c r="H20" s="207"/>
      <c r="I20" s="208"/>
      <c r="J20" s="209"/>
      <c r="K20" s="209"/>
      <c r="L20" s="220"/>
      <c r="M20" s="217"/>
      <c r="N20" s="211"/>
      <c r="O20" s="204"/>
      <c r="Q20" s="212"/>
      <c r="R20" s="204"/>
      <c r="S20" s="213"/>
      <c r="T20" s="214"/>
      <c r="U20" s="213"/>
      <c r="V20" s="214"/>
      <c r="W20" s="212"/>
      <c r="X20" s="212"/>
      <c r="Z20" s="188"/>
      <c r="AA20" s="188"/>
      <c r="AC20" s="203"/>
      <c r="AD20" s="99"/>
      <c r="AE20" s="103"/>
      <c r="AF20" s="204"/>
      <c r="AG20" s="104"/>
    </row>
    <row r="21" spans="1:33" s="101" customFormat="1" ht="15.75" hidden="1" customHeight="1" x14ac:dyDescent="0.25">
      <c r="A21" s="103"/>
      <c r="B21" s="231" t="s">
        <v>763</v>
      </c>
      <c r="C21" s="232" t="e">
        <f>'[2]31 pr.2023'!#REF!+'[2]32 pr.2023'!#REF!+'[2]33 pr.2023'!#REF!</f>
        <v>#REF!</v>
      </c>
      <c r="D21" s="232" t="e">
        <f>'[2]31 pr.2023'!#REF!+'[2]32 pr.2023'!#REF!+'[2]33 pr.2023'!#REF!</f>
        <v>#REF!</v>
      </c>
      <c r="E21" s="232" t="e">
        <f>'[2]31 pr.2023'!#REF!+'[2]32 pr.2023'!#REF!+'[2]33 pr.2023'!#REF!</f>
        <v>#REF!</v>
      </c>
      <c r="F21" s="232" t="e">
        <f>'[2]31 pr.2023'!#REF!+'[2]32 pr.2023'!#REF!+'[2]33 pr.2023'!#REF!</f>
        <v>#REF!</v>
      </c>
      <c r="G21" s="232" t="e">
        <f>'[2]31 pr.2023'!#REF!+'[2]32 pr.2023'!#REF!+'[2]33 pr.2023'!#REF!</f>
        <v>#REF!</v>
      </c>
      <c r="H21" s="207"/>
      <c r="I21" s="208"/>
      <c r="J21" s="209"/>
      <c r="K21" s="209"/>
      <c r="L21" s="220"/>
      <c r="M21" s="217"/>
      <c r="N21" s="211"/>
      <c r="O21" s="204"/>
      <c r="Q21" s="212"/>
      <c r="R21" s="204"/>
      <c r="S21" s="213"/>
      <c r="T21" s="214"/>
      <c r="U21" s="213"/>
      <c r="V21" s="214"/>
      <c r="W21" s="212"/>
      <c r="X21" s="212"/>
      <c r="Z21" s="188"/>
      <c r="AA21" s="188"/>
      <c r="AC21" s="203"/>
      <c r="AD21" s="99"/>
      <c r="AE21" s="103"/>
      <c r="AF21" s="204"/>
      <c r="AG21" s="104"/>
    </row>
    <row r="22" spans="1:33" s="101" customFormat="1" ht="15.75" hidden="1" customHeight="1" x14ac:dyDescent="0.25">
      <c r="A22" s="103"/>
      <c r="B22" s="233" t="s">
        <v>764</v>
      </c>
      <c r="C22" s="234" t="e">
        <f>'[2]31 pr.2023'!#REF!</f>
        <v>#REF!</v>
      </c>
      <c r="D22" s="234" t="e">
        <f>'[2]31 pr.2023'!#REF!</f>
        <v>#REF!</v>
      </c>
      <c r="E22" s="234" t="e">
        <f>'[2]31 pr.2023'!#REF!</f>
        <v>#REF!</v>
      </c>
      <c r="F22" s="234" t="e">
        <f>'[2]31 pr.2023'!#REF!</f>
        <v>#REF!</v>
      </c>
      <c r="G22" s="234" t="e">
        <f>'[2]31 pr.2023'!#REF!</f>
        <v>#REF!</v>
      </c>
      <c r="H22" s="207"/>
      <c r="I22" s="208"/>
      <c r="J22" s="209"/>
      <c r="K22" s="209"/>
      <c r="L22" s="220"/>
      <c r="M22" s="217"/>
      <c r="N22" s="211"/>
      <c r="O22" s="204"/>
      <c r="Q22" s="212"/>
      <c r="R22" s="204"/>
      <c r="S22" s="213"/>
      <c r="T22" s="214"/>
      <c r="U22" s="213"/>
      <c r="V22" s="214"/>
      <c r="W22" s="212"/>
      <c r="X22" s="212"/>
      <c r="Z22" s="188"/>
      <c r="AA22" s="188"/>
      <c r="AC22" s="203"/>
      <c r="AD22" s="99"/>
      <c r="AE22" s="103"/>
      <c r="AF22" s="204"/>
      <c r="AG22" s="104"/>
    </row>
    <row r="23" spans="1:33" s="101" customFormat="1" ht="15.75" hidden="1" customHeight="1" x14ac:dyDescent="0.25">
      <c r="A23" s="103"/>
      <c r="B23" s="195"/>
      <c r="C23" s="235" t="e">
        <f>SUM(C13:C22)</f>
        <v>#REF!</v>
      </c>
      <c r="D23" s="235" t="e">
        <f>SUM(D13:D22)</f>
        <v>#REF!</v>
      </c>
      <c r="E23" s="235" t="e">
        <f>SUM(E13:E22)</f>
        <v>#REF!</v>
      </c>
      <c r="F23" s="235" t="e">
        <f>SUM(F13:F22)</f>
        <v>#REF!</v>
      </c>
      <c r="G23" s="236" t="e">
        <f>SUM(G13:G22)</f>
        <v>#REF!</v>
      </c>
      <c r="H23" s="237" t="e">
        <f>G23-C23</f>
        <v>#REF!</v>
      </c>
      <c r="I23" s="208"/>
      <c r="J23" s="209"/>
      <c r="K23" s="209"/>
      <c r="L23" s="220"/>
      <c r="M23" s="217"/>
      <c r="N23" s="211"/>
      <c r="O23" s="204"/>
      <c r="Q23" s="212"/>
      <c r="R23" s="204"/>
      <c r="S23" s="213"/>
      <c r="T23" s="214"/>
      <c r="U23" s="213"/>
      <c r="V23" s="214"/>
      <c r="W23" s="212"/>
      <c r="X23" s="212"/>
      <c r="Z23" s="188"/>
      <c r="AA23" s="188"/>
      <c r="AC23" s="203"/>
      <c r="AD23" s="99"/>
      <c r="AE23" s="103"/>
      <c r="AF23" s="204"/>
      <c r="AG23" s="104"/>
    </row>
    <row r="24" spans="1:33" s="101" customFormat="1" ht="15.75" hidden="1" customHeight="1" x14ac:dyDescent="0.25">
      <c r="A24" s="99"/>
      <c r="B24" s="195"/>
      <c r="C24" s="207" t="e">
        <f>C23-C11</f>
        <v>#REF!</v>
      </c>
      <c r="D24" s="207" t="e">
        <f>D23-D11</f>
        <v>#REF!</v>
      </c>
      <c r="E24" s="207" t="e">
        <f>E23-E11</f>
        <v>#REF!</v>
      </c>
      <c r="F24" s="207" t="e">
        <f>F23-F11</f>
        <v>#REF!</v>
      </c>
      <c r="G24" s="238"/>
      <c r="H24" s="238"/>
      <c r="I24" s="208"/>
      <c r="J24" s="209"/>
      <c r="K24" s="209"/>
      <c r="L24" s="220"/>
      <c r="M24" s="217"/>
      <c r="N24" s="211"/>
      <c r="O24" s="204"/>
      <c r="Q24" s="212"/>
      <c r="R24" s="204"/>
      <c r="S24" s="213"/>
      <c r="T24" s="214"/>
      <c r="U24" s="213"/>
      <c r="V24" s="214"/>
      <c r="W24" s="212"/>
      <c r="X24" s="212"/>
      <c r="Z24" s="188"/>
      <c r="AA24" s="188"/>
      <c r="AC24" s="203"/>
      <c r="AD24" s="99"/>
      <c r="AE24" s="103"/>
      <c r="AF24" s="204"/>
      <c r="AG24" s="104"/>
    </row>
    <row r="25" spans="1:33" s="25" customFormat="1" ht="11.25" hidden="1" customHeight="1" x14ac:dyDescent="0.25">
      <c r="A25" s="239"/>
      <c r="B25" s="240" t="s">
        <v>765</v>
      </c>
      <c r="C25" s="241"/>
      <c r="D25" s="241"/>
      <c r="E25" s="241"/>
      <c r="F25" s="241"/>
      <c r="G25" s="241"/>
      <c r="H25" s="241"/>
      <c r="I25" s="242" t="e">
        <f>(I11/C11*100)-100</f>
        <v>#REF!</v>
      </c>
      <c r="J25" s="243"/>
      <c r="K25" s="243"/>
      <c r="L25" s="244"/>
      <c r="M25" s="245">
        <f>M10/D10*100-100</f>
        <v>14.410265251336114</v>
      </c>
      <c r="N25" s="246"/>
      <c r="O25" s="101"/>
      <c r="P25" s="101"/>
      <c r="S25" s="247"/>
      <c r="T25" s="247"/>
      <c r="U25" s="204"/>
      <c r="Z25" s="248"/>
      <c r="AA25" s="249"/>
      <c r="AB25" s="249"/>
      <c r="AC25" s="250"/>
      <c r="AD25" s="250"/>
      <c r="AE25" s="250"/>
      <c r="AF25" s="250"/>
      <c r="AG25" s="250"/>
    </row>
    <row r="26" spans="1:33" s="101" customFormat="1" hidden="1" x14ac:dyDescent="0.25">
      <c r="A26" s="99"/>
      <c r="B26" s="174"/>
      <c r="C26" s="209"/>
      <c r="D26" s="209"/>
      <c r="E26" s="209"/>
      <c r="F26" s="209"/>
      <c r="G26" s="209"/>
      <c r="H26" s="209"/>
      <c r="I26" s="251"/>
      <c r="J26" s="252"/>
      <c r="K26" s="252"/>
      <c r="L26" s="253"/>
      <c r="M26" s="254"/>
      <c r="N26" s="255"/>
      <c r="Z26" s="188"/>
      <c r="AA26" s="188"/>
      <c r="AC26" s="256"/>
      <c r="AD26" s="104"/>
      <c r="AE26" s="203"/>
      <c r="AG26" s="104"/>
    </row>
    <row r="27" spans="1:33" s="101" customFormat="1" hidden="1" x14ac:dyDescent="0.25">
      <c r="A27" s="257"/>
      <c r="B27" s="258"/>
      <c r="C27" s="259"/>
      <c r="D27" s="259"/>
      <c r="E27" s="259"/>
      <c r="F27" s="259"/>
      <c r="G27" s="254"/>
      <c r="H27" s="259" t="s">
        <v>766</v>
      </c>
      <c r="I27" s="104"/>
      <c r="J27" s="251"/>
      <c r="K27" s="251"/>
      <c r="L27" s="260"/>
      <c r="M27" s="261"/>
      <c r="N27" s="262"/>
      <c r="R27" s="204"/>
      <c r="T27" s="204"/>
      <c r="U27" s="204"/>
      <c r="W27" s="204"/>
      <c r="X27" s="204"/>
      <c r="Y27" s="204"/>
      <c r="Z27" s="104"/>
      <c r="AA27" s="104"/>
      <c r="AD27" s="104"/>
      <c r="AG27" s="104"/>
    </row>
    <row r="28" spans="1:33" hidden="1" x14ac:dyDescent="0.25">
      <c r="A28" s="263" t="s">
        <v>767</v>
      </c>
      <c r="B28" s="264"/>
      <c r="C28" s="265">
        <f>'[2]2023 m paj'!C125</f>
        <v>92343.3</v>
      </c>
      <c r="D28" s="266" t="s">
        <v>768</v>
      </c>
      <c r="E28" s="267">
        <f>'[2]2022 m. pajamos'!C120</f>
        <v>83379.299999999988</v>
      </c>
      <c r="F28" s="268"/>
      <c r="G28" s="269"/>
      <c r="H28" s="270"/>
      <c r="I28" s="188">
        <f>C28-F28</f>
        <v>92343.3</v>
      </c>
      <c r="J28" s="204"/>
      <c r="K28" s="204"/>
      <c r="L28" s="271"/>
      <c r="M28" s="272" t="s">
        <v>769</v>
      </c>
      <c r="N28" s="273"/>
      <c r="O28" s="274"/>
      <c r="P28" s="274"/>
      <c r="Q28" s="275"/>
      <c r="AC28" s="101"/>
      <c r="AD28" s="104"/>
      <c r="AE28" s="101"/>
      <c r="AF28" s="101"/>
      <c r="AG28" s="104"/>
    </row>
    <row r="29" spans="1:33" ht="14.25" hidden="1" customHeight="1" x14ac:dyDescent="0.25">
      <c r="A29" s="277" t="s">
        <v>770</v>
      </c>
      <c r="B29" s="278"/>
      <c r="C29" s="279"/>
      <c r="D29" s="280"/>
      <c r="E29" s="280"/>
      <c r="F29" s="281">
        <f>'[2]2023 m paj'!C116</f>
        <v>46454</v>
      </c>
      <c r="G29" s="282"/>
      <c r="H29" s="283"/>
      <c r="I29" s="284">
        <f>M10</f>
        <v>46454</v>
      </c>
      <c r="J29" s="188"/>
      <c r="K29" s="188"/>
      <c r="L29" s="285"/>
      <c r="M29" s="286">
        <f>F29-M10</f>
        <v>0</v>
      </c>
      <c r="N29" s="287"/>
      <c r="O29" s="288" t="s">
        <v>771</v>
      </c>
      <c r="P29" s="288"/>
      <c r="Q29" s="289"/>
      <c r="R29" s="290"/>
      <c r="S29" s="101"/>
      <c r="T29" s="101"/>
      <c r="AC29" s="101"/>
      <c r="AD29" s="104"/>
      <c r="AE29" s="101"/>
      <c r="AF29" s="101"/>
      <c r="AG29" s="104"/>
    </row>
    <row r="30" spans="1:33" hidden="1" x14ac:dyDescent="0.25"/>
    <row r="31" spans="1:33" s="114" customFormat="1" hidden="1" x14ac:dyDescent="0.25">
      <c r="A31" s="293" t="s">
        <v>219</v>
      </c>
      <c r="B31" s="294" t="s">
        <v>220</v>
      </c>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6"/>
    </row>
    <row r="32" spans="1:33" s="114" customFormat="1" hidden="1" x14ac:dyDescent="0.25">
      <c r="A32" s="297" t="s">
        <v>221</v>
      </c>
      <c r="B32" s="294" t="s">
        <v>222</v>
      </c>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6"/>
    </row>
    <row r="33" spans="1:33" s="114" customFormat="1" hidden="1" x14ac:dyDescent="0.25">
      <c r="A33" s="297" t="s">
        <v>223</v>
      </c>
      <c r="B33" s="294" t="s">
        <v>224</v>
      </c>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6"/>
    </row>
    <row r="34" spans="1:33" s="114" customFormat="1" hidden="1" x14ac:dyDescent="0.25">
      <c r="A34" s="297" t="s">
        <v>225</v>
      </c>
      <c r="B34" s="294" t="s">
        <v>226</v>
      </c>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6"/>
    </row>
    <row r="35" spans="1:33" s="114" customFormat="1" hidden="1" x14ac:dyDescent="0.25">
      <c r="A35" s="297" t="s">
        <v>227</v>
      </c>
      <c r="B35" s="294" t="s">
        <v>228</v>
      </c>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6"/>
    </row>
    <row r="36" spans="1:33" s="114" customFormat="1" hidden="1" x14ac:dyDescent="0.25">
      <c r="A36" s="297" t="s">
        <v>229</v>
      </c>
      <c r="B36" s="294" t="s">
        <v>230</v>
      </c>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6"/>
    </row>
    <row r="37" spans="1:33" s="114" customFormat="1" hidden="1" x14ac:dyDescent="0.25">
      <c r="A37" s="297" t="s">
        <v>231</v>
      </c>
      <c r="B37" s="294" t="s">
        <v>232</v>
      </c>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6"/>
    </row>
    <row r="38" spans="1:33" s="114" customFormat="1" hidden="1" x14ac:dyDescent="0.25">
      <c r="A38" s="297" t="s">
        <v>233</v>
      </c>
      <c r="B38" s="294" t="s">
        <v>234</v>
      </c>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6"/>
    </row>
    <row r="39" spans="1:33" hidden="1" x14ac:dyDescent="0.25"/>
    <row r="40" spans="1:33" hidden="1" x14ac:dyDescent="0.25"/>
    <row r="41" spans="1:33" hidden="1" x14ac:dyDescent="0.25"/>
    <row r="42" spans="1:33" hidden="1" x14ac:dyDescent="0.25"/>
    <row r="43" spans="1:33" hidden="1" x14ac:dyDescent="0.25"/>
  </sheetData>
  <sheetProtection algorithmName="SHA-512" hashValue="q7d1xE89HaYH1GRPUc867e6h236QWqyGBsjuLcojPeZkdqIqvJ7Bepf+plZ2LdXUydK/iofsxJM2oI5nvo0CeA==" saltValue="PT/TVonl1tXup1hmogo5AQ==" spinCount="100000" sheet="1" objects="1" scenarios="1"/>
  <mergeCells count="36">
    <mergeCell ref="B37:AG37"/>
    <mergeCell ref="B38:AG38"/>
    <mergeCell ref="B31:AG31"/>
    <mergeCell ref="B32:AG32"/>
    <mergeCell ref="B33:AG33"/>
    <mergeCell ref="B34:AG34"/>
    <mergeCell ref="B35:AG35"/>
    <mergeCell ref="B36:AG36"/>
    <mergeCell ref="A28:B28"/>
    <mergeCell ref="F28:G28"/>
    <mergeCell ref="M28:Q28"/>
    <mergeCell ref="A29:C29"/>
    <mergeCell ref="F29:G29"/>
    <mergeCell ref="O29:Q29"/>
    <mergeCell ref="AF4:AF5"/>
    <mergeCell ref="AG4:AG5"/>
    <mergeCell ref="AD11:AE11"/>
    <mergeCell ref="B25:H25"/>
    <mergeCell ref="AC25:AG25"/>
    <mergeCell ref="A27:B27"/>
    <mergeCell ref="K4:K5"/>
    <mergeCell ref="Z4:Z5"/>
    <mergeCell ref="AB4:AB5"/>
    <mergeCell ref="AC4:AC5"/>
    <mergeCell ref="AD4:AD5"/>
    <mergeCell ref="AE4:AE5"/>
    <mergeCell ref="B1:AF1"/>
    <mergeCell ref="AF2:AG2"/>
    <mergeCell ref="D3:F3"/>
    <mergeCell ref="M3:AG3"/>
    <mergeCell ref="A4:A5"/>
    <mergeCell ref="B4:B5"/>
    <mergeCell ref="C4:C5"/>
    <mergeCell ref="G4:G5"/>
    <mergeCell ref="H4:H5"/>
    <mergeCell ref="I4:I5"/>
  </mergeCells>
  <pageMargins left="3.937007874015748E-2" right="0" top="0" bottom="0" header="0.31496062992125984" footer="0.31496062992125984"/>
  <pageSetup paperSize="8" orientation="landscape" r:id="rId1"/>
  <headerFooter>
    <oddHeader>&amp;L&amp;D</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FFBAF-5B24-4725-98A0-16EA218D71C7}">
  <sheetPr>
    <tabColor rgb="FF0CE626"/>
  </sheetPr>
  <dimension ref="A1:AO88"/>
  <sheetViews>
    <sheetView showGridLines="0" showRowColHeaders="0" zoomScaleNormal="100" workbookViewId="0">
      <pane ySplit="5" topLeftCell="A6" activePane="bottomLeft" state="frozen"/>
      <selection pane="bottomLeft" activeCell="Z77" sqref="Z77"/>
    </sheetView>
  </sheetViews>
  <sheetFormatPr defaultColWidth="9.140625" defaultRowHeight="24" customHeight="1" x14ac:dyDescent="0.25"/>
  <cols>
    <col min="1" max="1" width="11.28515625" style="1" customWidth="1"/>
    <col min="2" max="2" width="119" style="2" customWidth="1"/>
    <col min="3" max="3" width="8" style="2" hidden="1" customWidth="1"/>
    <col min="4" max="4" width="6.5703125" style="2" hidden="1" customWidth="1"/>
    <col min="5" max="5" width="4.85546875" style="2" hidden="1" customWidth="1"/>
    <col min="6" max="6" width="6" style="2" hidden="1" customWidth="1"/>
    <col min="7" max="7" width="7.7109375" style="2" hidden="1" customWidth="1"/>
    <col min="8" max="8" width="6.42578125" style="2" hidden="1" customWidth="1"/>
    <col min="9" max="9" width="8.140625" style="2" hidden="1" customWidth="1"/>
    <col min="10" max="10" width="7" style="2" hidden="1" customWidth="1"/>
    <col min="11" max="11" width="6.42578125" style="1" hidden="1" customWidth="1"/>
    <col min="12" max="12" width="30.5703125" style="3" hidden="1" customWidth="1"/>
    <col min="13" max="13" width="6.5703125" style="13" hidden="1" customWidth="1"/>
    <col min="14" max="14" width="5.7109375" style="14" hidden="1" customWidth="1"/>
    <col min="15" max="15" width="5.140625" style="3" hidden="1" customWidth="1"/>
    <col min="16" max="16" width="6.28515625" style="15" hidden="1" customWidth="1"/>
    <col min="17" max="17" width="4.7109375" style="3" hidden="1" customWidth="1"/>
    <col min="18" max="18" width="4.140625" style="3" hidden="1" customWidth="1"/>
    <col min="19" max="19" width="6" style="3" hidden="1" customWidth="1"/>
    <col min="20" max="20" width="7" style="3" hidden="1" customWidth="1"/>
    <col min="21" max="21" width="7.42578125" style="3" hidden="1" customWidth="1"/>
    <col min="22" max="22" width="7" style="3" hidden="1" customWidth="1"/>
    <col min="23" max="23" width="5.85546875" style="3" hidden="1" customWidth="1"/>
    <col min="24" max="24" width="4.85546875" style="3" hidden="1" customWidth="1"/>
    <col min="25" max="25" width="6.28515625" style="3" hidden="1" customWidth="1"/>
    <col min="26" max="26" width="11.85546875" style="3" customWidth="1"/>
    <col min="27" max="27" width="3.28515625" style="3" hidden="1" customWidth="1"/>
    <col min="28" max="28" width="7" style="3" hidden="1" customWidth="1"/>
    <col min="29" max="29" width="17.140625" style="1" hidden="1" customWidth="1"/>
    <col min="30" max="30" width="7.42578125" style="3" hidden="1" customWidth="1"/>
    <col min="31" max="31" width="6.140625" style="3" hidden="1" customWidth="1"/>
    <col min="32" max="32" width="9.140625" style="3" hidden="1" customWidth="1"/>
    <col min="33" max="33" width="6.5703125" style="2" hidden="1" customWidth="1"/>
    <col min="34" max="34" width="5.85546875" style="1" customWidth="1"/>
    <col min="35" max="16384" width="9.140625" style="2"/>
  </cols>
  <sheetData>
    <row r="1" spans="1:41" s="4" customFormat="1" ht="24" customHeight="1" x14ac:dyDescent="0.25">
      <c r="A1" s="298"/>
      <c r="B1" s="299" t="s">
        <v>0</v>
      </c>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1" t="s">
        <v>1</v>
      </c>
      <c r="AH1" s="302"/>
      <c r="AI1" s="161"/>
      <c r="AJ1" s="161"/>
      <c r="AK1" s="161"/>
      <c r="AL1" s="161"/>
      <c r="AM1" s="161"/>
      <c r="AN1" s="161"/>
      <c r="AO1" s="161"/>
    </row>
    <row r="2" spans="1:41" s="4" customFormat="1" ht="24" customHeight="1" x14ac:dyDescent="0.25">
      <c r="A2" s="298"/>
      <c r="B2" s="100"/>
      <c r="C2" s="298"/>
      <c r="D2" s="298"/>
      <c r="E2" s="298"/>
      <c r="F2" s="298"/>
      <c r="G2" s="298"/>
      <c r="H2" s="298"/>
      <c r="I2" s="161"/>
      <c r="J2" s="161"/>
      <c r="K2" s="161"/>
      <c r="L2" s="303" t="s">
        <v>2</v>
      </c>
      <c r="M2" s="304">
        <f>'[1]Kontroliniai dydžiai '!Q5</f>
        <v>13432.864610000001</v>
      </c>
      <c r="N2" s="305"/>
      <c r="O2" s="306">
        <f>M2-M6</f>
        <v>118.76460999999836</v>
      </c>
      <c r="P2" s="161"/>
      <c r="Q2" s="161"/>
      <c r="R2" s="161"/>
      <c r="S2" s="161"/>
      <c r="T2" s="161"/>
      <c r="U2" s="161"/>
      <c r="V2" s="161"/>
      <c r="W2" s="161"/>
      <c r="X2" s="161"/>
      <c r="Y2" s="161"/>
      <c r="Z2" s="276"/>
      <c r="AA2" s="276"/>
      <c r="AB2" s="161"/>
      <c r="AC2" s="161"/>
      <c r="AD2" s="161"/>
      <c r="AE2" s="161"/>
      <c r="AF2" s="307"/>
      <c r="AG2" s="308"/>
      <c r="AH2" s="302"/>
      <c r="AI2" s="161"/>
      <c r="AJ2" s="161"/>
      <c r="AK2" s="161"/>
      <c r="AL2" s="161"/>
      <c r="AM2" s="161"/>
      <c r="AN2" s="161"/>
      <c r="AO2" s="161"/>
    </row>
    <row r="3" spans="1:41" s="3" customFormat="1" ht="24" customHeight="1" x14ac:dyDescent="0.25">
      <c r="A3" s="309" t="s">
        <v>3</v>
      </c>
      <c r="B3" s="309" t="s">
        <v>4</v>
      </c>
      <c r="C3" s="310" t="s">
        <v>5</v>
      </c>
      <c r="D3" s="311"/>
      <c r="E3" s="312"/>
      <c r="F3" s="313"/>
      <c r="G3" s="314" t="s">
        <v>6</v>
      </c>
      <c r="H3" s="314" t="s">
        <v>7</v>
      </c>
      <c r="I3" s="315"/>
      <c r="J3" s="316"/>
      <c r="K3" s="315"/>
      <c r="L3" s="317"/>
      <c r="M3" s="318"/>
      <c r="N3" s="319"/>
      <c r="O3" s="320"/>
      <c r="P3" s="320"/>
      <c r="Q3" s="320"/>
      <c r="R3" s="320"/>
      <c r="S3" s="320"/>
      <c r="T3" s="321" t="s">
        <v>8</v>
      </c>
      <c r="U3" s="320"/>
      <c r="V3" s="320"/>
      <c r="W3" s="320"/>
      <c r="X3" s="320"/>
      <c r="Y3" s="322"/>
      <c r="Z3" s="323" t="s">
        <v>920</v>
      </c>
      <c r="AA3" s="324"/>
      <c r="AB3" s="325" t="s">
        <v>9</v>
      </c>
      <c r="AC3" s="326" t="s">
        <v>902</v>
      </c>
      <c r="AD3" s="325" t="s">
        <v>10</v>
      </c>
      <c r="AE3" s="325" t="s">
        <v>11</v>
      </c>
      <c r="AF3" s="326" t="s">
        <v>903</v>
      </c>
      <c r="AG3" s="327" t="s">
        <v>12</v>
      </c>
      <c r="AH3" s="107"/>
      <c r="AI3" s="120"/>
      <c r="AJ3" s="120"/>
      <c r="AK3" s="120"/>
      <c r="AL3" s="120"/>
      <c r="AM3" s="120"/>
      <c r="AN3" s="120"/>
      <c r="AO3" s="120"/>
    </row>
    <row r="4" spans="1:41" s="3" customFormat="1" ht="24" customHeight="1" x14ac:dyDescent="0.25">
      <c r="A4" s="328"/>
      <c r="B4" s="328"/>
      <c r="C4" s="329"/>
      <c r="D4" s="330" t="s">
        <v>13</v>
      </c>
      <c r="E4" s="330" t="s">
        <v>14</v>
      </c>
      <c r="F4" s="331" t="s">
        <v>15</v>
      </c>
      <c r="G4" s="332"/>
      <c r="H4" s="332"/>
      <c r="I4" s="333"/>
      <c r="J4" s="334"/>
      <c r="K4" s="333"/>
      <c r="L4" s="317"/>
      <c r="M4" s="335" t="s">
        <v>904</v>
      </c>
      <c r="N4" s="336" t="s">
        <v>16</v>
      </c>
      <c r="O4" s="337" t="s">
        <v>905</v>
      </c>
      <c r="P4" s="338" t="s">
        <v>17</v>
      </c>
      <c r="Q4" s="337" t="s">
        <v>906</v>
      </c>
      <c r="R4" s="337" t="s">
        <v>907</v>
      </c>
      <c r="S4" s="337" t="s">
        <v>908</v>
      </c>
      <c r="T4" s="337" t="s">
        <v>909</v>
      </c>
      <c r="U4" s="337" t="s">
        <v>18</v>
      </c>
      <c r="V4" s="337" t="s">
        <v>910</v>
      </c>
      <c r="W4" s="337" t="s">
        <v>911</v>
      </c>
      <c r="X4" s="337" t="s">
        <v>912</v>
      </c>
      <c r="Y4" s="339" t="s">
        <v>19</v>
      </c>
      <c r="Z4" s="340"/>
      <c r="AA4" s="341" t="s">
        <v>20</v>
      </c>
      <c r="AB4" s="325"/>
      <c r="AC4" s="326"/>
      <c r="AD4" s="325"/>
      <c r="AE4" s="325"/>
      <c r="AF4" s="326"/>
      <c r="AG4" s="325"/>
      <c r="AH4" s="107"/>
      <c r="AI4" s="120"/>
      <c r="AJ4" s="120"/>
      <c r="AK4" s="120"/>
      <c r="AL4" s="120"/>
      <c r="AM4" s="120"/>
      <c r="AN4" s="120"/>
      <c r="AO4" s="120"/>
    </row>
    <row r="5" spans="1:41" s="3" customFormat="1" ht="24" customHeight="1" x14ac:dyDescent="0.25">
      <c r="A5" s="342">
        <v>1</v>
      </c>
      <c r="B5" s="342">
        <v>2</v>
      </c>
      <c r="C5" s="342">
        <v>3</v>
      </c>
      <c r="D5" s="342" t="s">
        <v>21</v>
      </c>
      <c r="E5" s="342" t="s">
        <v>22</v>
      </c>
      <c r="F5" s="342" t="s">
        <v>23</v>
      </c>
      <c r="G5" s="343">
        <v>4</v>
      </c>
      <c r="H5" s="343" t="s">
        <v>24</v>
      </c>
      <c r="I5" s="343">
        <v>5</v>
      </c>
      <c r="J5" s="343">
        <v>6</v>
      </c>
      <c r="K5" s="343">
        <v>7</v>
      </c>
      <c r="L5" s="344"/>
      <c r="M5" s="345">
        <v>8</v>
      </c>
      <c r="N5" s="346" t="s">
        <v>25</v>
      </c>
      <c r="O5" s="343">
        <v>9</v>
      </c>
      <c r="P5" s="347" t="s">
        <v>26</v>
      </c>
      <c r="Q5" s="343">
        <v>10</v>
      </c>
      <c r="R5" s="343">
        <v>11</v>
      </c>
      <c r="S5" s="343">
        <v>12</v>
      </c>
      <c r="T5" s="343">
        <v>13</v>
      </c>
      <c r="U5" s="343"/>
      <c r="V5" s="343">
        <v>14</v>
      </c>
      <c r="W5" s="343">
        <v>15</v>
      </c>
      <c r="X5" s="343" t="s">
        <v>27</v>
      </c>
      <c r="Y5" s="343">
        <v>0</v>
      </c>
      <c r="Z5" s="343">
        <v>3</v>
      </c>
      <c r="AA5" s="343">
        <v>17</v>
      </c>
      <c r="AB5" s="343">
        <v>18</v>
      </c>
      <c r="AC5" s="348">
        <v>19</v>
      </c>
      <c r="AD5" s="343">
        <v>20</v>
      </c>
      <c r="AE5" s="343">
        <v>21</v>
      </c>
      <c r="AF5" s="343">
        <v>22</v>
      </c>
      <c r="AG5" s="349">
        <v>23</v>
      </c>
      <c r="AH5" s="107"/>
      <c r="AI5" s="120"/>
      <c r="AJ5" s="120"/>
      <c r="AK5" s="120"/>
      <c r="AL5" s="120"/>
      <c r="AM5" s="120"/>
      <c r="AN5" s="120"/>
      <c r="AO5" s="120"/>
    </row>
    <row r="6" spans="1:41" s="10" customFormat="1" ht="24" customHeight="1" x14ac:dyDescent="0.25">
      <c r="A6" s="350">
        <v>31</v>
      </c>
      <c r="B6" s="350" t="s">
        <v>28</v>
      </c>
      <c r="C6" s="351">
        <f>C7+C43</f>
        <v>25749</v>
      </c>
      <c r="D6" s="351">
        <f>D7+D43</f>
        <v>12431.099999999999</v>
      </c>
      <c r="E6" s="351">
        <f>E7+E43</f>
        <v>8</v>
      </c>
      <c r="F6" s="351">
        <f>F7+F43</f>
        <v>3388.3999999999996</v>
      </c>
      <c r="G6" s="351">
        <f>G7+G43</f>
        <v>0</v>
      </c>
      <c r="H6" s="351">
        <f>H7+H43</f>
        <v>0</v>
      </c>
      <c r="I6" s="351">
        <f>I7+I43</f>
        <v>0</v>
      </c>
      <c r="J6" s="351">
        <f>J7+J43</f>
        <v>0</v>
      </c>
      <c r="K6" s="351">
        <f>K7+K43</f>
        <v>0</v>
      </c>
      <c r="L6" s="351"/>
      <c r="M6" s="351">
        <f>M7+M43</f>
        <v>13314.100000000002</v>
      </c>
      <c r="N6" s="352">
        <f>N7+N43</f>
        <v>883.00000000000159</v>
      </c>
      <c r="O6" s="351">
        <f>O7+O43</f>
        <v>52</v>
      </c>
      <c r="P6" s="351">
        <f>P7+P43</f>
        <v>0</v>
      </c>
      <c r="Q6" s="351">
        <f>Q7+Q43</f>
        <v>0</v>
      </c>
      <c r="R6" s="351">
        <f>R7+R43</f>
        <v>20</v>
      </c>
      <c r="S6" s="351">
        <f>S7+S43</f>
        <v>3670</v>
      </c>
      <c r="T6" s="351">
        <f>T7+T43</f>
        <v>3938.2</v>
      </c>
      <c r="U6" s="351">
        <f>U7+U43</f>
        <v>7628.2</v>
      </c>
      <c r="V6" s="351">
        <f>V7+V43</f>
        <v>2152</v>
      </c>
      <c r="W6" s="351">
        <f>W7+W43</f>
        <v>1070</v>
      </c>
      <c r="X6" s="351">
        <f>X7+X43</f>
        <v>0</v>
      </c>
      <c r="Y6" s="351">
        <f>Y7+Y43</f>
        <v>0</v>
      </c>
      <c r="Z6" s="351">
        <f>Z7+Z43</f>
        <v>24216.300000000003</v>
      </c>
      <c r="AA6" s="351">
        <f>AA7+AA43</f>
        <v>0</v>
      </c>
      <c r="AB6" s="351">
        <f>AB7+AB43</f>
        <v>5782.9000000000005</v>
      </c>
      <c r="AC6" s="351"/>
      <c r="AD6" s="351">
        <f>Z6+AB6</f>
        <v>29999.200000000004</v>
      </c>
      <c r="AE6" s="351">
        <f>AE7+AE43</f>
        <v>250</v>
      </c>
      <c r="AF6" s="351"/>
      <c r="AG6" s="351">
        <f>AD6+AE6</f>
        <v>30249.200000000004</v>
      </c>
      <c r="AH6" s="353"/>
      <c r="AI6" s="354"/>
      <c r="AJ6" s="354"/>
      <c r="AK6" s="354"/>
      <c r="AL6" s="354"/>
      <c r="AM6" s="354"/>
      <c r="AN6" s="354"/>
      <c r="AO6" s="354"/>
    </row>
    <row r="7" spans="1:41" s="10" customFormat="1" ht="24" customHeight="1" x14ac:dyDescent="0.25">
      <c r="A7" s="355" t="s">
        <v>29</v>
      </c>
      <c r="B7" s="356" t="s">
        <v>30</v>
      </c>
      <c r="C7" s="357">
        <f>C8+C28</f>
        <v>12688.3</v>
      </c>
      <c r="D7" s="357">
        <f>D8+D28</f>
        <v>7836.4</v>
      </c>
      <c r="E7" s="357">
        <f>E8+E28</f>
        <v>8</v>
      </c>
      <c r="F7" s="357">
        <f>F8+F28</f>
        <v>1190.8</v>
      </c>
      <c r="G7" s="357">
        <f>G8+G28</f>
        <v>0</v>
      </c>
      <c r="H7" s="357">
        <f>H8+H28</f>
        <v>0</v>
      </c>
      <c r="I7" s="357">
        <f>I8+I28</f>
        <v>0</v>
      </c>
      <c r="J7" s="357">
        <f>J8+J28</f>
        <v>0</v>
      </c>
      <c r="K7" s="357">
        <f>K8+K28</f>
        <v>0</v>
      </c>
      <c r="L7" s="357"/>
      <c r="M7" s="357">
        <f>M8+M28</f>
        <v>6129.3000000000011</v>
      </c>
      <c r="N7" s="358">
        <f>N8+N28</f>
        <v>-1707.0999999999997</v>
      </c>
      <c r="O7" s="357">
        <f>O8+O28</f>
        <v>32</v>
      </c>
      <c r="P7" s="357">
        <f>P8+P28</f>
        <v>0</v>
      </c>
      <c r="Q7" s="357">
        <f>Q8+Q28</f>
        <v>0</v>
      </c>
      <c r="R7" s="357">
        <f>R8+R28</f>
        <v>0</v>
      </c>
      <c r="S7" s="357">
        <f>S8+S28</f>
        <v>0</v>
      </c>
      <c r="T7" s="357">
        <f>T8+T28</f>
        <v>519.70000000000005</v>
      </c>
      <c r="U7" s="357">
        <f>U8+U28</f>
        <v>519.70000000000005</v>
      </c>
      <c r="V7" s="357">
        <f>V8+V28</f>
        <v>2152</v>
      </c>
      <c r="W7" s="357">
        <f>W8+W28</f>
        <v>0</v>
      </c>
      <c r="X7" s="357">
        <f>X8+X28</f>
        <v>0</v>
      </c>
      <c r="Y7" s="357">
        <f>Y8+Y28</f>
        <v>0</v>
      </c>
      <c r="Z7" s="357">
        <f>Z8+Z28</f>
        <v>8833</v>
      </c>
      <c r="AA7" s="357">
        <f>AA8+AA28</f>
        <v>0</v>
      </c>
      <c r="AB7" s="357">
        <f>AB8+AB28</f>
        <v>1378.6000000000001</v>
      </c>
      <c r="AC7" s="357"/>
      <c r="AD7" s="357">
        <f t="shared" ref="AD7:AD74" si="0">Z7+AB7</f>
        <v>10211.6</v>
      </c>
      <c r="AE7" s="357">
        <f>AE8+AE28</f>
        <v>50</v>
      </c>
      <c r="AF7" s="357"/>
      <c r="AG7" s="357">
        <f t="shared" ref="AG7:AG74" si="1">AD7+AE7</f>
        <v>10261.6</v>
      </c>
      <c r="AH7" s="353"/>
      <c r="AI7" s="354"/>
      <c r="AJ7" s="354"/>
      <c r="AK7" s="354"/>
      <c r="AL7" s="354"/>
      <c r="AM7" s="354"/>
      <c r="AN7" s="354"/>
      <c r="AO7" s="354"/>
    </row>
    <row r="8" spans="1:41" s="10" customFormat="1" ht="24" customHeight="1" x14ac:dyDescent="0.25">
      <c r="A8" s="359" t="s">
        <v>31</v>
      </c>
      <c r="B8" s="360" t="s">
        <v>32</v>
      </c>
      <c r="C8" s="361">
        <f>C9+C10+C11+C12+C13+C14+C15+C16+C17+C18+C19+C20+C21+C22+C23+C24+C25+C26+C27</f>
        <v>4932.0999999999985</v>
      </c>
      <c r="D8" s="361">
        <f>D9+D10+D11+D12+D13+D14+D15+D16+D17+D18+D19+D20+D21+D22+D23+D24+D25+D26+D27</f>
        <v>3374.8999999999996</v>
      </c>
      <c r="E8" s="361">
        <f>E9+E10+E11+E12+E13+E14+E15+E16+E17+E18+E19+E20+E21+E22+E23+E24+E25+E26+E27</f>
        <v>0</v>
      </c>
      <c r="F8" s="361">
        <f>F9+F10+F11+F12+F13+F14+F15+F16+F17+F18+F19+F20+F21+F22+F23+F24+F25+F26+F27</f>
        <v>88</v>
      </c>
      <c r="G8" s="361">
        <f>G9+G10+G11+G12+G13+G14+G15+G16+G17+G18+G19+G20+G21+G22+G23+G24+G25+G26+G27</f>
        <v>0</v>
      </c>
      <c r="H8" s="361">
        <f>H9+H10+H11+H12+H13+H14+H15+H16+H17+H18+H19+H20+H21+H22+H23+H24+H25+H26+H27</f>
        <v>0</v>
      </c>
      <c r="I8" s="361">
        <f>I9+I10+I11+I12+I13+I14+I15+I16+I17+I18+I19+I20+I21+I22+I23+I24+I25+I26+I27</f>
        <v>0</v>
      </c>
      <c r="J8" s="361">
        <f>J9+J10+J11+J12+J13+J14+J15+J16+J17+J18+J19+J20+J21+J22+J23+J24+J25+J26+J27</f>
        <v>0</v>
      </c>
      <c r="K8" s="361">
        <f>K9+K10+K11+K12+K13+K14+K15+K16+K17+K18+K19+K20+K21+K22+K23+K24+K25+K26+K27</f>
        <v>0</v>
      </c>
      <c r="L8" s="361"/>
      <c r="M8" s="361">
        <f>M9+M10+M11+M12+M13+M14+M15+M16+M17+M18+M19+M20+M21+M22+M23+M24+M25+M26+M27</f>
        <v>1741.1000000000001</v>
      </c>
      <c r="N8" s="362">
        <f>N9+N10+N11+N12+N13+N14+N15+N16+N17+N18+N19+N20+N21+N22+N23+N24+N25+N26+N27</f>
        <v>-1633.8000000000004</v>
      </c>
      <c r="O8" s="361">
        <f>O9+O10+O11+O12+O13+O14+O15+O16+O17+O18+O19+O20+O21+O22+O23+O24+O25+O26+O27</f>
        <v>0</v>
      </c>
      <c r="P8" s="361">
        <f>P9+P10+P11+P12+P13+P14+P15+P16+P17+P18+P19+P20+P21+P22+P23+P24+P25+P26+P27</f>
        <v>0</v>
      </c>
      <c r="Q8" s="361">
        <f>Q9+Q10+Q11+Q12+Q13+Q14+Q15+Q16+Q17+Q18+Q19+Q20+Q21+Q22+Q23+Q24+Q25+Q26+Q27</f>
        <v>0</v>
      </c>
      <c r="R8" s="361">
        <f>R9+R10+R11+R12+R13+R14+R15+R16+R17+R18+R19+R20+R21+R22+R23+R24+R25+R26+R27</f>
        <v>0</v>
      </c>
      <c r="S8" s="361">
        <f>S9+S10+S11+S12+S13+S14+S15+S16+S17+S18+S19+S20+S21+S22+S23+S24+S25+S26+S27</f>
        <v>0</v>
      </c>
      <c r="T8" s="361">
        <f>T9+T10+T11+T12+T13+T14+T15+T16+T17+T18+T19+T20+T21+T22+T23+T24+T25+T26+T27</f>
        <v>0</v>
      </c>
      <c r="U8" s="361">
        <f>U9+U10+U11+U12+U13+U14+U15+U16+U17+U18+U19+U20+U21+U22+U23+U24+U25+U26+U27</f>
        <v>0</v>
      </c>
      <c r="V8" s="361">
        <f>V9+V10+V11+V12+V13+V14+V15+V16+V17+V18+V19+V20+V21+V22+V23+V24+V25+V26+V27</f>
        <v>0</v>
      </c>
      <c r="W8" s="361">
        <f>W9+W10+W11+W12+W13+W14+W15+W16+W17+W18+W19+W20+W21+W22+W23+W24+W25+W26+W27</f>
        <v>0</v>
      </c>
      <c r="X8" s="361">
        <f>X9+X10+X11+X12+X13+X14+X15+X16+X17+X18+X19+X20+X21+X22+X23+X24+X25+X26+X27</f>
        <v>0</v>
      </c>
      <c r="Y8" s="361">
        <f>Y9+Y10+Y11+Y12+Y13+Y14+Y15+Y16+Y17+Y18+Y19+Y20+Y21+Y22+Y23+Y24+Y25+Y26+Y27</f>
        <v>0</v>
      </c>
      <c r="Z8" s="361">
        <f>Z9+Z10+Z11+Z12+Z13+Z14+Z15+Z16+Z17+Z18+Z19+Z20+Z21+Z22+Z23+Z24+Z25+Z26+Z27</f>
        <v>1741.1000000000001</v>
      </c>
      <c r="AA8" s="361">
        <f>AA9+AA10+AA11+AA12+AA13+AA14+AA15+AA16+AA17+AA18+AA19+AA20+AA21+AA22+AA23+AA24+AA25+AA26+AA27</f>
        <v>0</v>
      </c>
      <c r="AB8" s="361">
        <f>AB9+AB10+AB11+AB12+AB13+AB14+AB15+AB16+AB17+AB18+AB19+AB20+AB21+AB22+AB23+AB24+AB25+AB26+AB27</f>
        <v>955.7</v>
      </c>
      <c r="AC8" s="361"/>
      <c r="AD8" s="361">
        <f t="shared" si="0"/>
        <v>2696.8</v>
      </c>
      <c r="AE8" s="361">
        <f>AE9+AE10+AE11+AE12+AE13+AE14+AE15+AE16+AE17+AE18+AE19+AE20+AE21+AE22+AE23+AE24+AE25+AE26+AE27</f>
        <v>0</v>
      </c>
      <c r="AF8" s="361"/>
      <c r="AG8" s="361">
        <f t="shared" si="1"/>
        <v>2696.8</v>
      </c>
      <c r="AH8" s="353"/>
      <c r="AI8" s="354"/>
      <c r="AJ8" s="354"/>
      <c r="AK8" s="354"/>
      <c r="AL8" s="354"/>
      <c r="AM8" s="354"/>
      <c r="AN8" s="354"/>
      <c r="AO8" s="354"/>
    </row>
    <row r="9" spans="1:41" s="10" customFormat="1" ht="24" hidden="1" customHeight="1" x14ac:dyDescent="0.25">
      <c r="A9" s="363" t="s">
        <v>33</v>
      </c>
      <c r="B9" s="364" t="s">
        <v>34</v>
      </c>
      <c r="C9" s="365">
        <v>1.2</v>
      </c>
      <c r="D9" s="365">
        <v>0.7</v>
      </c>
      <c r="E9" s="365"/>
      <c r="F9" s="365"/>
      <c r="G9" s="366"/>
      <c r="H9" s="366"/>
      <c r="I9" s="366"/>
      <c r="J9" s="366"/>
      <c r="K9" s="367"/>
      <c r="L9" s="368" t="s">
        <v>35</v>
      </c>
      <c r="M9" s="369"/>
      <c r="N9" s="370">
        <f>M9-D9</f>
        <v>-0.7</v>
      </c>
      <c r="O9" s="371"/>
      <c r="P9" s="371"/>
      <c r="Q9" s="371"/>
      <c r="R9" s="371"/>
      <c r="S9" s="371"/>
      <c r="T9" s="371"/>
      <c r="U9" s="372">
        <f>Q9+R9+S9+T9</f>
        <v>0</v>
      </c>
      <c r="V9" s="371"/>
      <c r="W9" s="371"/>
      <c r="X9" s="366"/>
      <c r="Y9" s="366"/>
      <c r="Z9" s="373">
        <f t="shared" ref="Z9:Z76" si="2">M9+O9+U9+V9+W9+X9</f>
        <v>0</v>
      </c>
      <c r="AA9" s="366"/>
      <c r="AB9" s="374"/>
      <c r="AC9" s="375"/>
      <c r="AD9" s="376">
        <f t="shared" si="0"/>
        <v>0</v>
      </c>
      <c r="AE9" s="377"/>
      <c r="AF9" s="377"/>
      <c r="AG9" s="376">
        <f t="shared" si="1"/>
        <v>0</v>
      </c>
      <c r="AH9" s="353"/>
      <c r="AI9" s="354"/>
      <c r="AJ9" s="354"/>
      <c r="AK9" s="354"/>
      <c r="AL9" s="354"/>
      <c r="AM9" s="354"/>
      <c r="AN9" s="354"/>
      <c r="AO9" s="354"/>
    </row>
    <row r="10" spans="1:41" s="10" customFormat="1" ht="24" customHeight="1" x14ac:dyDescent="0.25">
      <c r="A10" s="363" t="s">
        <v>36</v>
      </c>
      <c r="B10" s="364" t="s">
        <v>37</v>
      </c>
      <c r="C10" s="365">
        <v>3827.2</v>
      </c>
      <c r="D10" s="365">
        <v>2459.3000000000002</v>
      </c>
      <c r="E10" s="365"/>
      <c r="F10" s="365"/>
      <c r="G10" s="366"/>
      <c r="H10" s="366"/>
      <c r="I10" s="366"/>
      <c r="J10" s="366"/>
      <c r="K10" s="367"/>
      <c r="L10" s="378" t="s">
        <v>913</v>
      </c>
      <c r="M10" s="369">
        <v>1653.7</v>
      </c>
      <c r="N10" s="370">
        <f t="shared" ref="N10:N77" si="3">M10-D10</f>
        <v>-805.60000000000014</v>
      </c>
      <c r="O10" s="371"/>
      <c r="P10" s="371"/>
      <c r="Q10" s="371"/>
      <c r="R10" s="371"/>
      <c r="S10" s="371"/>
      <c r="T10" s="371"/>
      <c r="U10" s="372">
        <f t="shared" ref="U10:U76" si="4">Q10+R10+S10+T10</f>
        <v>0</v>
      </c>
      <c r="V10" s="371"/>
      <c r="W10" s="371"/>
      <c r="X10" s="366"/>
      <c r="Y10" s="366"/>
      <c r="Z10" s="379">
        <f t="shared" si="2"/>
        <v>1653.7</v>
      </c>
      <c r="AA10" s="366"/>
      <c r="AB10" s="374">
        <v>955.7</v>
      </c>
      <c r="AC10" s="380" t="s">
        <v>914</v>
      </c>
      <c r="AD10" s="376">
        <f t="shared" si="0"/>
        <v>2609.4</v>
      </c>
      <c r="AE10" s="377"/>
      <c r="AF10" s="377"/>
      <c r="AG10" s="376">
        <f t="shared" si="1"/>
        <v>2609.4</v>
      </c>
      <c r="AH10" s="353"/>
      <c r="AI10" s="354"/>
      <c r="AJ10" s="354"/>
      <c r="AK10" s="354"/>
      <c r="AL10" s="354"/>
      <c r="AM10" s="354"/>
      <c r="AN10" s="354"/>
      <c r="AO10" s="354"/>
    </row>
    <row r="11" spans="1:41" s="10" customFormat="1" ht="24" hidden="1" customHeight="1" x14ac:dyDescent="0.25">
      <c r="A11" s="363" t="s">
        <v>38</v>
      </c>
      <c r="B11" s="364" t="s">
        <v>39</v>
      </c>
      <c r="C11" s="365"/>
      <c r="D11" s="365"/>
      <c r="E11" s="365"/>
      <c r="F11" s="365"/>
      <c r="G11" s="366"/>
      <c r="H11" s="366"/>
      <c r="I11" s="366"/>
      <c r="J11" s="366"/>
      <c r="K11" s="367"/>
      <c r="L11" s="368"/>
      <c r="M11" s="369"/>
      <c r="N11" s="370">
        <f t="shared" si="3"/>
        <v>0</v>
      </c>
      <c r="O11" s="371"/>
      <c r="P11" s="371"/>
      <c r="Q11" s="371"/>
      <c r="R11" s="371"/>
      <c r="S11" s="371"/>
      <c r="T11" s="371"/>
      <c r="U11" s="372">
        <f t="shared" si="4"/>
        <v>0</v>
      </c>
      <c r="V11" s="371"/>
      <c r="W11" s="371"/>
      <c r="X11" s="366"/>
      <c r="Y11" s="366"/>
      <c r="Z11" s="379">
        <f t="shared" si="2"/>
        <v>0</v>
      </c>
      <c r="AA11" s="366"/>
      <c r="AB11" s="374"/>
      <c r="AC11" s="375"/>
      <c r="AD11" s="376">
        <f t="shared" si="0"/>
        <v>0</v>
      </c>
      <c r="AE11" s="377"/>
      <c r="AF11" s="377"/>
      <c r="AG11" s="376">
        <f t="shared" si="1"/>
        <v>0</v>
      </c>
      <c r="AH11" s="353"/>
      <c r="AI11" s="354"/>
      <c r="AJ11" s="354"/>
      <c r="AK11" s="354"/>
      <c r="AL11" s="354"/>
      <c r="AM11" s="354"/>
      <c r="AN11" s="354"/>
      <c r="AO11" s="354"/>
    </row>
    <row r="12" spans="1:41" s="10" customFormat="1" ht="24" hidden="1" customHeight="1" x14ac:dyDescent="0.25">
      <c r="A12" s="363" t="s">
        <v>40</v>
      </c>
      <c r="B12" s="364" t="s">
        <v>41</v>
      </c>
      <c r="C12" s="365">
        <v>272.7</v>
      </c>
      <c r="D12" s="365">
        <v>272.7</v>
      </c>
      <c r="E12" s="365"/>
      <c r="F12" s="365"/>
      <c r="G12" s="366"/>
      <c r="H12" s="366"/>
      <c r="I12" s="366"/>
      <c r="J12" s="366"/>
      <c r="K12" s="367"/>
      <c r="L12" s="368"/>
      <c r="M12" s="369"/>
      <c r="N12" s="370">
        <f t="shared" si="3"/>
        <v>-272.7</v>
      </c>
      <c r="O12" s="371"/>
      <c r="P12" s="371"/>
      <c r="Q12" s="371"/>
      <c r="R12" s="371"/>
      <c r="S12" s="371"/>
      <c r="T12" s="371"/>
      <c r="U12" s="372">
        <f t="shared" si="4"/>
        <v>0</v>
      </c>
      <c r="V12" s="371"/>
      <c r="W12" s="371"/>
      <c r="X12" s="366"/>
      <c r="Y12" s="366"/>
      <c r="Z12" s="379">
        <f t="shared" si="2"/>
        <v>0</v>
      </c>
      <c r="AA12" s="366"/>
      <c r="AB12" s="374"/>
      <c r="AC12" s="375"/>
      <c r="AD12" s="376">
        <f t="shared" si="0"/>
        <v>0</v>
      </c>
      <c r="AE12" s="377"/>
      <c r="AF12" s="377"/>
      <c r="AG12" s="376">
        <f t="shared" si="1"/>
        <v>0</v>
      </c>
      <c r="AH12" s="353"/>
      <c r="AI12" s="354"/>
      <c r="AJ12" s="354"/>
      <c r="AK12" s="354"/>
      <c r="AL12" s="354"/>
      <c r="AM12" s="354"/>
      <c r="AN12" s="354"/>
      <c r="AO12" s="354"/>
    </row>
    <row r="13" spans="1:41" s="10" customFormat="1" ht="24" hidden="1" customHeight="1" x14ac:dyDescent="0.25">
      <c r="A13" s="363" t="s">
        <v>42</v>
      </c>
      <c r="B13" s="364" t="s">
        <v>43</v>
      </c>
      <c r="C13" s="365"/>
      <c r="D13" s="365"/>
      <c r="E13" s="365"/>
      <c r="F13" s="365"/>
      <c r="G13" s="366"/>
      <c r="H13" s="366"/>
      <c r="I13" s="366"/>
      <c r="J13" s="366"/>
      <c r="K13" s="367"/>
      <c r="L13" s="368"/>
      <c r="M13" s="369"/>
      <c r="N13" s="370">
        <f t="shared" si="3"/>
        <v>0</v>
      </c>
      <c r="O13" s="371"/>
      <c r="P13" s="371"/>
      <c r="Q13" s="371"/>
      <c r="R13" s="371"/>
      <c r="S13" s="371"/>
      <c r="T13" s="371"/>
      <c r="U13" s="372">
        <f t="shared" si="4"/>
        <v>0</v>
      </c>
      <c r="V13" s="371"/>
      <c r="W13" s="371"/>
      <c r="X13" s="366"/>
      <c r="Y13" s="366"/>
      <c r="Z13" s="379">
        <f t="shared" si="2"/>
        <v>0</v>
      </c>
      <c r="AA13" s="366"/>
      <c r="AB13" s="374"/>
      <c r="AC13" s="375"/>
      <c r="AD13" s="376">
        <f t="shared" si="0"/>
        <v>0</v>
      </c>
      <c r="AE13" s="377"/>
      <c r="AF13" s="377"/>
      <c r="AG13" s="376">
        <f t="shared" si="1"/>
        <v>0</v>
      </c>
      <c r="AH13" s="353"/>
      <c r="AI13" s="354"/>
      <c r="AJ13" s="354"/>
      <c r="AK13" s="354"/>
      <c r="AL13" s="354"/>
      <c r="AM13" s="354"/>
      <c r="AN13" s="354"/>
      <c r="AO13" s="354"/>
    </row>
    <row r="14" spans="1:41" s="10" customFormat="1" ht="24" hidden="1" customHeight="1" x14ac:dyDescent="0.25">
      <c r="A14" s="363" t="s">
        <v>44</v>
      </c>
      <c r="B14" s="364" t="s">
        <v>45</v>
      </c>
      <c r="C14" s="365"/>
      <c r="D14" s="365"/>
      <c r="E14" s="365"/>
      <c r="F14" s="365"/>
      <c r="G14" s="366"/>
      <c r="H14" s="366"/>
      <c r="I14" s="366"/>
      <c r="J14" s="366"/>
      <c r="K14" s="367"/>
      <c r="L14" s="368"/>
      <c r="M14" s="369"/>
      <c r="N14" s="370">
        <f t="shared" si="3"/>
        <v>0</v>
      </c>
      <c r="O14" s="371"/>
      <c r="P14" s="371"/>
      <c r="Q14" s="371"/>
      <c r="R14" s="371"/>
      <c r="S14" s="371"/>
      <c r="T14" s="371"/>
      <c r="U14" s="372">
        <f t="shared" si="4"/>
        <v>0</v>
      </c>
      <c r="V14" s="371"/>
      <c r="W14" s="371"/>
      <c r="X14" s="366"/>
      <c r="Y14" s="366"/>
      <c r="Z14" s="379">
        <f t="shared" si="2"/>
        <v>0</v>
      </c>
      <c r="AA14" s="366"/>
      <c r="AB14" s="374"/>
      <c r="AC14" s="375"/>
      <c r="AD14" s="376">
        <f t="shared" si="0"/>
        <v>0</v>
      </c>
      <c r="AE14" s="377"/>
      <c r="AF14" s="377"/>
      <c r="AG14" s="376">
        <f t="shared" si="1"/>
        <v>0</v>
      </c>
      <c r="AH14" s="353"/>
      <c r="AI14" s="354"/>
      <c r="AJ14" s="354"/>
      <c r="AK14" s="354"/>
      <c r="AL14" s="354"/>
      <c r="AM14" s="354"/>
      <c r="AN14" s="354"/>
      <c r="AO14" s="354"/>
    </row>
    <row r="15" spans="1:41" s="10" customFormat="1" ht="24" hidden="1" customHeight="1" x14ac:dyDescent="0.25">
      <c r="A15" s="363" t="s">
        <v>46</v>
      </c>
      <c r="B15" s="364" t="s">
        <v>47</v>
      </c>
      <c r="C15" s="365"/>
      <c r="D15" s="365"/>
      <c r="E15" s="365"/>
      <c r="F15" s="365"/>
      <c r="G15" s="366"/>
      <c r="H15" s="366"/>
      <c r="I15" s="366"/>
      <c r="J15" s="366"/>
      <c r="K15" s="367"/>
      <c r="L15" s="368"/>
      <c r="M15" s="369"/>
      <c r="N15" s="370">
        <f t="shared" si="3"/>
        <v>0</v>
      </c>
      <c r="O15" s="371"/>
      <c r="P15" s="371"/>
      <c r="Q15" s="371"/>
      <c r="R15" s="371"/>
      <c r="S15" s="371"/>
      <c r="T15" s="371"/>
      <c r="U15" s="372">
        <f t="shared" si="4"/>
        <v>0</v>
      </c>
      <c r="V15" s="371"/>
      <c r="W15" s="371"/>
      <c r="X15" s="366"/>
      <c r="Y15" s="366"/>
      <c r="Z15" s="379">
        <f t="shared" si="2"/>
        <v>0</v>
      </c>
      <c r="AA15" s="366"/>
      <c r="AB15" s="374"/>
      <c r="AC15" s="375"/>
      <c r="AD15" s="376">
        <f t="shared" si="0"/>
        <v>0</v>
      </c>
      <c r="AE15" s="377"/>
      <c r="AF15" s="377"/>
      <c r="AG15" s="376">
        <f t="shared" si="1"/>
        <v>0</v>
      </c>
      <c r="AH15" s="353"/>
      <c r="AI15" s="354"/>
      <c r="AJ15" s="354"/>
      <c r="AK15" s="354"/>
      <c r="AL15" s="354"/>
      <c r="AM15" s="354"/>
      <c r="AN15" s="354"/>
      <c r="AO15" s="354"/>
    </row>
    <row r="16" spans="1:41" s="10" customFormat="1" ht="24" hidden="1" customHeight="1" x14ac:dyDescent="0.25">
      <c r="A16" s="363" t="s">
        <v>48</v>
      </c>
      <c r="B16" s="364" t="s">
        <v>49</v>
      </c>
      <c r="C16" s="365"/>
      <c r="D16" s="365"/>
      <c r="E16" s="365"/>
      <c r="F16" s="365"/>
      <c r="G16" s="366"/>
      <c r="H16" s="366"/>
      <c r="I16" s="366"/>
      <c r="J16" s="366"/>
      <c r="K16" s="367"/>
      <c r="L16" s="368"/>
      <c r="M16" s="369"/>
      <c r="N16" s="370">
        <f t="shared" si="3"/>
        <v>0</v>
      </c>
      <c r="O16" s="371"/>
      <c r="P16" s="371"/>
      <c r="Q16" s="371"/>
      <c r="R16" s="371"/>
      <c r="S16" s="371"/>
      <c r="T16" s="371"/>
      <c r="U16" s="372">
        <f t="shared" si="4"/>
        <v>0</v>
      </c>
      <c r="V16" s="371"/>
      <c r="W16" s="371"/>
      <c r="X16" s="366"/>
      <c r="Y16" s="366"/>
      <c r="Z16" s="379">
        <f t="shared" si="2"/>
        <v>0</v>
      </c>
      <c r="AA16" s="366"/>
      <c r="AB16" s="374"/>
      <c r="AC16" s="375"/>
      <c r="AD16" s="376">
        <f t="shared" si="0"/>
        <v>0</v>
      </c>
      <c r="AE16" s="377"/>
      <c r="AF16" s="377"/>
      <c r="AG16" s="376">
        <f t="shared" si="1"/>
        <v>0</v>
      </c>
      <c r="AH16" s="353"/>
      <c r="AI16" s="354"/>
      <c r="AJ16" s="354"/>
      <c r="AK16" s="354"/>
      <c r="AL16" s="354"/>
      <c r="AM16" s="354"/>
      <c r="AN16" s="354"/>
      <c r="AO16" s="354"/>
    </row>
    <row r="17" spans="1:41" s="10" customFormat="1" ht="24" hidden="1" customHeight="1" x14ac:dyDescent="0.25">
      <c r="A17" s="363" t="s">
        <v>50</v>
      </c>
      <c r="B17" s="364" t="s">
        <v>51</v>
      </c>
      <c r="C17" s="365"/>
      <c r="D17" s="365"/>
      <c r="E17" s="365"/>
      <c r="F17" s="365"/>
      <c r="G17" s="366"/>
      <c r="H17" s="366"/>
      <c r="I17" s="366"/>
      <c r="J17" s="366"/>
      <c r="K17" s="367"/>
      <c r="L17" s="368"/>
      <c r="M17" s="369"/>
      <c r="N17" s="370">
        <f t="shared" si="3"/>
        <v>0</v>
      </c>
      <c r="O17" s="371"/>
      <c r="P17" s="371"/>
      <c r="Q17" s="371"/>
      <c r="R17" s="371"/>
      <c r="S17" s="371"/>
      <c r="T17" s="371"/>
      <c r="U17" s="372">
        <f t="shared" si="4"/>
        <v>0</v>
      </c>
      <c r="V17" s="371"/>
      <c r="W17" s="371"/>
      <c r="X17" s="366"/>
      <c r="Y17" s="366"/>
      <c r="Z17" s="379">
        <f t="shared" si="2"/>
        <v>0</v>
      </c>
      <c r="AA17" s="366"/>
      <c r="AB17" s="374"/>
      <c r="AC17" s="375"/>
      <c r="AD17" s="376">
        <f t="shared" si="0"/>
        <v>0</v>
      </c>
      <c r="AE17" s="377"/>
      <c r="AF17" s="377"/>
      <c r="AG17" s="376">
        <f t="shared" si="1"/>
        <v>0</v>
      </c>
      <c r="AH17" s="353"/>
      <c r="AI17" s="354"/>
      <c r="AJ17" s="354"/>
      <c r="AK17" s="354"/>
      <c r="AL17" s="354"/>
      <c r="AM17" s="354"/>
      <c r="AN17" s="354"/>
      <c r="AO17" s="354"/>
    </row>
    <row r="18" spans="1:41" s="10" customFormat="1" ht="24" hidden="1" customHeight="1" x14ac:dyDescent="0.25">
      <c r="A18" s="363" t="s">
        <v>52</v>
      </c>
      <c r="B18" s="364" t="s">
        <v>53</v>
      </c>
      <c r="C18" s="365">
        <v>0</v>
      </c>
      <c r="D18" s="365">
        <v>0</v>
      </c>
      <c r="E18" s="365"/>
      <c r="F18" s="365"/>
      <c r="G18" s="366">
        <v>0</v>
      </c>
      <c r="H18" s="366">
        <v>0</v>
      </c>
      <c r="I18" s="366"/>
      <c r="J18" s="366"/>
      <c r="K18" s="367"/>
      <c r="L18" s="368"/>
      <c r="M18" s="369"/>
      <c r="N18" s="370">
        <f t="shared" si="3"/>
        <v>0</v>
      </c>
      <c r="O18" s="371"/>
      <c r="P18" s="371"/>
      <c r="Q18" s="371"/>
      <c r="R18" s="371"/>
      <c r="S18" s="371"/>
      <c r="T18" s="371"/>
      <c r="U18" s="372">
        <f t="shared" si="4"/>
        <v>0</v>
      </c>
      <c r="V18" s="371"/>
      <c r="W18" s="371"/>
      <c r="X18" s="366"/>
      <c r="Y18" s="366"/>
      <c r="Z18" s="379">
        <f t="shared" si="2"/>
        <v>0</v>
      </c>
      <c r="AA18" s="366"/>
      <c r="AB18" s="374"/>
      <c r="AC18" s="375"/>
      <c r="AD18" s="376">
        <f t="shared" si="0"/>
        <v>0</v>
      </c>
      <c r="AE18" s="377"/>
      <c r="AF18" s="377"/>
      <c r="AG18" s="376">
        <f t="shared" si="1"/>
        <v>0</v>
      </c>
      <c r="AH18" s="353"/>
      <c r="AI18" s="354"/>
      <c r="AJ18" s="354"/>
      <c r="AK18" s="354"/>
      <c r="AL18" s="354"/>
      <c r="AM18" s="354"/>
      <c r="AN18" s="354"/>
      <c r="AO18" s="354"/>
    </row>
    <row r="19" spans="1:41" s="10" customFormat="1" ht="24" hidden="1" customHeight="1" x14ac:dyDescent="0.25">
      <c r="A19" s="363" t="s">
        <v>54</v>
      </c>
      <c r="B19" s="364" t="s">
        <v>55</v>
      </c>
      <c r="C19" s="365">
        <v>215.8</v>
      </c>
      <c r="D19" s="365">
        <v>115</v>
      </c>
      <c r="E19" s="365"/>
      <c r="F19" s="365"/>
      <c r="G19" s="366"/>
      <c r="H19" s="366"/>
      <c r="I19" s="366"/>
      <c r="J19" s="366"/>
      <c r="K19" s="367"/>
      <c r="L19" s="368" t="s">
        <v>35</v>
      </c>
      <c r="M19" s="369"/>
      <c r="N19" s="370">
        <f t="shared" si="3"/>
        <v>-115</v>
      </c>
      <c r="O19" s="371"/>
      <c r="P19" s="371"/>
      <c r="Q19" s="371"/>
      <c r="R19" s="371"/>
      <c r="S19" s="371"/>
      <c r="T19" s="371"/>
      <c r="U19" s="372">
        <f t="shared" si="4"/>
        <v>0</v>
      </c>
      <c r="V19" s="371"/>
      <c r="W19" s="371"/>
      <c r="X19" s="366"/>
      <c r="Y19" s="366"/>
      <c r="Z19" s="379">
        <f t="shared" si="2"/>
        <v>0</v>
      </c>
      <c r="AA19" s="366"/>
      <c r="AB19" s="374"/>
      <c r="AC19" s="375"/>
      <c r="AD19" s="376">
        <f t="shared" si="0"/>
        <v>0</v>
      </c>
      <c r="AE19" s="377"/>
      <c r="AF19" s="377"/>
      <c r="AG19" s="376">
        <f t="shared" si="1"/>
        <v>0</v>
      </c>
      <c r="AH19" s="353"/>
      <c r="AI19" s="354"/>
      <c r="AJ19" s="354"/>
      <c r="AK19" s="354"/>
      <c r="AL19" s="354"/>
      <c r="AM19" s="354"/>
      <c r="AN19" s="354"/>
      <c r="AO19" s="354"/>
    </row>
    <row r="20" spans="1:41" s="10" customFormat="1" ht="24" customHeight="1" x14ac:dyDescent="0.25">
      <c r="A20" s="363" t="s">
        <v>56</v>
      </c>
      <c r="B20" s="364" t="s">
        <v>57</v>
      </c>
      <c r="C20" s="365">
        <v>87.4</v>
      </c>
      <c r="D20" s="365">
        <v>57.4</v>
      </c>
      <c r="E20" s="365"/>
      <c r="F20" s="365">
        <v>30</v>
      </c>
      <c r="G20" s="366"/>
      <c r="H20" s="366"/>
      <c r="I20" s="366"/>
      <c r="J20" s="366"/>
      <c r="K20" s="367"/>
      <c r="L20" s="368"/>
      <c r="M20" s="369">
        <v>87.4</v>
      </c>
      <c r="N20" s="370">
        <f t="shared" si="3"/>
        <v>30.000000000000007</v>
      </c>
      <c r="O20" s="371"/>
      <c r="P20" s="371"/>
      <c r="Q20" s="371"/>
      <c r="R20" s="371"/>
      <c r="S20" s="371"/>
      <c r="T20" s="371"/>
      <c r="U20" s="372">
        <f t="shared" si="4"/>
        <v>0</v>
      </c>
      <c r="V20" s="371"/>
      <c r="W20" s="371"/>
      <c r="X20" s="366"/>
      <c r="Y20" s="366"/>
      <c r="Z20" s="379">
        <f t="shared" si="2"/>
        <v>87.4</v>
      </c>
      <c r="AA20" s="366"/>
      <c r="AB20" s="374"/>
      <c r="AC20" s="375"/>
      <c r="AD20" s="376">
        <f t="shared" si="0"/>
        <v>87.4</v>
      </c>
      <c r="AE20" s="377"/>
      <c r="AF20" s="377"/>
      <c r="AG20" s="376">
        <f t="shared" si="1"/>
        <v>87.4</v>
      </c>
      <c r="AH20" s="353"/>
      <c r="AI20" s="354"/>
      <c r="AJ20" s="354"/>
      <c r="AK20" s="354"/>
      <c r="AL20" s="354"/>
      <c r="AM20" s="354"/>
      <c r="AN20" s="354"/>
      <c r="AO20" s="354"/>
    </row>
    <row r="21" spans="1:41" s="10" customFormat="1" ht="24" hidden="1" customHeight="1" x14ac:dyDescent="0.25">
      <c r="A21" s="363" t="s">
        <v>58</v>
      </c>
      <c r="B21" s="364" t="s">
        <v>59</v>
      </c>
      <c r="C21" s="365">
        <v>75.7</v>
      </c>
      <c r="D21" s="365">
        <v>75.7</v>
      </c>
      <c r="E21" s="365"/>
      <c r="F21" s="365"/>
      <c r="G21" s="366"/>
      <c r="H21" s="366"/>
      <c r="I21" s="366"/>
      <c r="J21" s="366"/>
      <c r="K21" s="367"/>
      <c r="L21" s="368"/>
      <c r="M21" s="369"/>
      <c r="N21" s="370">
        <f t="shared" si="3"/>
        <v>-75.7</v>
      </c>
      <c r="O21" s="371"/>
      <c r="P21" s="371"/>
      <c r="Q21" s="371"/>
      <c r="R21" s="371"/>
      <c r="S21" s="371"/>
      <c r="T21" s="371"/>
      <c r="U21" s="372">
        <f t="shared" si="4"/>
        <v>0</v>
      </c>
      <c r="V21" s="371"/>
      <c r="W21" s="371"/>
      <c r="X21" s="366"/>
      <c r="Y21" s="366"/>
      <c r="Z21" s="373">
        <f t="shared" si="2"/>
        <v>0</v>
      </c>
      <c r="AA21" s="366"/>
      <c r="AB21" s="374"/>
      <c r="AC21" s="375"/>
      <c r="AD21" s="376">
        <f t="shared" si="0"/>
        <v>0</v>
      </c>
      <c r="AE21" s="377"/>
      <c r="AF21" s="377"/>
      <c r="AG21" s="376">
        <f t="shared" si="1"/>
        <v>0</v>
      </c>
      <c r="AH21" s="353"/>
      <c r="AI21" s="354"/>
      <c r="AJ21" s="354"/>
      <c r="AK21" s="354"/>
      <c r="AL21" s="354"/>
      <c r="AM21" s="354"/>
      <c r="AN21" s="354"/>
      <c r="AO21" s="354"/>
    </row>
    <row r="22" spans="1:41" s="10" customFormat="1" ht="24" hidden="1" customHeight="1" x14ac:dyDescent="0.25">
      <c r="A22" s="363" t="s">
        <v>60</v>
      </c>
      <c r="B22" s="364" t="s">
        <v>61</v>
      </c>
      <c r="C22" s="365">
        <v>0</v>
      </c>
      <c r="D22" s="365">
        <v>0</v>
      </c>
      <c r="E22" s="365"/>
      <c r="F22" s="365"/>
      <c r="G22" s="366">
        <v>0</v>
      </c>
      <c r="H22" s="366">
        <v>0</v>
      </c>
      <c r="I22" s="366"/>
      <c r="J22" s="366"/>
      <c r="K22" s="367"/>
      <c r="L22" s="368"/>
      <c r="M22" s="369"/>
      <c r="N22" s="370">
        <f t="shared" si="3"/>
        <v>0</v>
      </c>
      <c r="O22" s="371"/>
      <c r="P22" s="371"/>
      <c r="Q22" s="371"/>
      <c r="R22" s="371"/>
      <c r="S22" s="371"/>
      <c r="T22" s="371"/>
      <c r="U22" s="372">
        <f t="shared" si="4"/>
        <v>0</v>
      </c>
      <c r="V22" s="371"/>
      <c r="W22" s="371"/>
      <c r="X22" s="366"/>
      <c r="Y22" s="366"/>
      <c r="Z22" s="373">
        <f t="shared" si="2"/>
        <v>0</v>
      </c>
      <c r="AA22" s="366"/>
      <c r="AB22" s="374"/>
      <c r="AC22" s="375"/>
      <c r="AD22" s="376">
        <f t="shared" si="0"/>
        <v>0</v>
      </c>
      <c r="AE22" s="377"/>
      <c r="AF22" s="377"/>
      <c r="AG22" s="376">
        <f t="shared" si="1"/>
        <v>0</v>
      </c>
      <c r="AH22" s="353"/>
      <c r="AI22" s="354"/>
      <c r="AJ22" s="354"/>
      <c r="AK22" s="354"/>
      <c r="AL22" s="354"/>
      <c r="AM22" s="354"/>
      <c r="AN22" s="354"/>
      <c r="AO22" s="354"/>
    </row>
    <row r="23" spans="1:41" s="10" customFormat="1" ht="24" hidden="1" customHeight="1" x14ac:dyDescent="0.25">
      <c r="A23" s="363" t="s">
        <v>62</v>
      </c>
      <c r="B23" s="364" t="s">
        <v>63</v>
      </c>
      <c r="C23" s="365">
        <v>100</v>
      </c>
      <c r="D23" s="365">
        <f>14.1+45.9</f>
        <v>60</v>
      </c>
      <c r="E23" s="365"/>
      <c r="F23" s="365">
        <v>40</v>
      </c>
      <c r="G23" s="366"/>
      <c r="H23" s="366"/>
      <c r="I23" s="366"/>
      <c r="J23" s="366"/>
      <c r="K23" s="367"/>
      <c r="L23" s="368"/>
      <c r="M23" s="369"/>
      <c r="N23" s="370">
        <f t="shared" si="3"/>
        <v>-60</v>
      </c>
      <c r="O23" s="371"/>
      <c r="P23" s="371"/>
      <c r="Q23" s="371"/>
      <c r="R23" s="371"/>
      <c r="S23" s="371"/>
      <c r="T23" s="371"/>
      <c r="U23" s="372">
        <f t="shared" si="4"/>
        <v>0</v>
      </c>
      <c r="V23" s="371"/>
      <c r="W23" s="371"/>
      <c r="X23" s="366"/>
      <c r="Y23" s="366"/>
      <c r="Z23" s="373">
        <f t="shared" si="2"/>
        <v>0</v>
      </c>
      <c r="AA23" s="366"/>
      <c r="AB23" s="374"/>
      <c r="AC23" s="375"/>
      <c r="AD23" s="376">
        <f t="shared" si="0"/>
        <v>0</v>
      </c>
      <c r="AE23" s="377"/>
      <c r="AF23" s="377"/>
      <c r="AG23" s="376">
        <f t="shared" si="1"/>
        <v>0</v>
      </c>
      <c r="AH23" s="353"/>
      <c r="AI23" s="354"/>
      <c r="AJ23" s="354"/>
      <c r="AK23" s="354"/>
      <c r="AL23" s="354"/>
      <c r="AM23" s="354"/>
      <c r="AN23" s="354"/>
      <c r="AO23" s="354"/>
    </row>
    <row r="24" spans="1:41" s="10" customFormat="1" ht="24" hidden="1" customHeight="1" x14ac:dyDescent="0.25">
      <c r="A24" s="363" t="s">
        <v>64</v>
      </c>
      <c r="B24" s="364" t="s">
        <v>65</v>
      </c>
      <c r="C24" s="365">
        <v>118.2</v>
      </c>
      <c r="D24" s="365">
        <v>100.2</v>
      </c>
      <c r="E24" s="365"/>
      <c r="F24" s="365">
        <v>18</v>
      </c>
      <c r="G24" s="366"/>
      <c r="H24" s="366"/>
      <c r="I24" s="366"/>
      <c r="J24" s="366"/>
      <c r="K24" s="367"/>
      <c r="L24" s="368"/>
      <c r="M24" s="369"/>
      <c r="N24" s="370">
        <f t="shared" si="3"/>
        <v>-100.2</v>
      </c>
      <c r="O24" s="371"/>
      <c r="P24" s="371"/>
      <c r="Q24" s="371"/>
      <c r="R24" s="371"/>
      <c r="S24" s="371"/>
      <c r="T24" s="371"/>
      <c r="U24" s="372">
        <f t="shared" si="4"/>
        <v>0</v>
      </c>
      <c r="V24" s="371"/>
      <c r="W24" s="371"/>
      <c r="X24" s="366"/>
      <c r="Y24" s="366"/>
      <c r="Z24" s="373">
        <f t="shared" si="2"/>
        <v>0</v>
      </c>
      <c r="AA24" s="366"/>
      <c r="AB24" s="374"/>
      <c r="AC24" s="375"/>
      <c r="AD24" s="376">
        <f t="shared" si="0"/>
        <v>0</v>
      </c>
      <c r="AE24" s="377"/>
      <c r="AF24" s="377"/>
      <c r="AG24" s="376">
        <f t="shared" si="1"/>
        <v>0</v>
      </c>
      <c r="AH24" s="353"/>
      <c r="AI24" s="354"/>
      <c r="AJ24" s="354"/>
      <c r="AK24" s="354"/>
      <c r="AL24" s="354"/>
      <c r="AM24" s="354"/>
      <c r="AN24" s="354"/>
      <c r="AO24" s="354"/>
    </row>
    <row r="25" spans="1:41" s="10" customFormat="1" ht="24" hidden="1" customHeight="1" x14ac:dyDescent="0.25">
      <c r="A25" s="363" t="s">
        <v>66</v>
      </c>
      <c r="B25" s="364" t="s">
        <v>67</v>
      </c>
      <c r="C25" s="365">
        <v>42.9</v>
      </c>
      <c r="D25" s="365">
        <v>42.9</v>
      </c>
      <c r="E25" s="365"/>
      <c r="F25" s="365"/>
      <c r="G25" s="366"/>
      <c r="H25" s="366"/>
      <c r="I25" s="366"/>
      <c r="J25" s="366"/>
      <c r="K25" s="367"/>
      <c r="L25" s="368"/>
      <c r="M25" s="369"/>
      <c r="N25" s="370">
        <f t="shared" si="3"/>
        <v>-42.9</v>
      </c>
      <c r="O25" s="371"/>
      <c r="P25" s="371"/>
      <c r="Q25" s="371"/>
      <c r="R25" s="371"/>
      <c r="S25" s="371"/>
      <c r="T25" s="371"/>
      <c r="U25" s="372">
        <f t="shared" si="4"/>
        <v>0</v>
      </c>
      <c r="V25" s="371"/>
      <c r="W25" s="371"/>
      <c r="X25" s="366"/>
      <c r="Y25" s="366"/>
      <c r="Z25" s="373">
        <f t="shared" si="2"/>
        <v>0</v>
      </c>
      <c r="AA25" s="366"/>
      <c r="AB25" s="374"/>
      <c r="AC25" s="375"/>
      <c r="AD25" s="376">
        <f t="shared" si="0"/>
        <v>0</v>
      </c>
      <c r="AE25" s="377"/>
      <c r="AF25" s="377"/>
      <c r="AG25" s="376">
        <f t="shared" si="1"/>
        <v>0</v>
      </c>
      <c r="AH25" s="353"/>
      <c r="AI25" s="354"/>
      <c r="AJ25" s="354"/>
      <c r="AK25" s="354"/>
      <c r="AL25" s="354"/>
      <c r="AM25" s="354"/>
      <c r="AN25" s="354"/>
      <c r="AO25" s="354"/>
    </row>
    <row r="26" spans="1:41" s="10" customFormat="1" ht="24" hidden="1" customHeight="1" x14ac:dyDescent="0.25">
      <c r="A26" s="363" t="s">
        <v>68</v>
      </c>
      <c r="B26" s="364" t="s">
        <v>69</v>
      </c>
      <c r="C26" s="365">
        <v>191</v>
      </c>
      <c r="D26" s="365">
        <v>191</v>
      </c>
      <c r="E26" s="365"/>
      <c r="F26" s="365"/>
      <c r="G26" s="366"/>
      <c r="H26" s="366"/>
      <c r="I26" s="366"/>
      <c r="J26" s="366"/>
      <c r="K26" s="367"/>
      <c r="L26" s="368"/>
      <c r="M26" s="369"/>
      <c r="N26" s="370">
        <f t="shared" si="3"/>
        <v>-191</v>
      </c>
      <c r="O26" s="371"/>
      <c r="P26" s="371"/>
      <c r="Q26" s="371"/>
      <c r="R26" s="371"/>
      <c r="S26" s="371"/>
      <c r="T26" s="371"/>
      <c r="U26" s="372">
        <f t="shared" si="4"/>
        <v>0</v>
      </c>
      <c r="V26" s="371"/>
      <c r="W26" s="371"/>
      <c r="X26" s="366"/>
      <c r="Y26" s="366"/>
      <c r="Z26" s="373">
        <f t="shared" si="2"/>
        <v>0</v>
      </c>
      <c r="AA26" s="366"/>
      <c r="AB26" s="374"/>
      <c r="AC26" s="375"/>
      <c r="AD26" s="376">
        <f t="shared" si="0"/>
        <v>0</v>
      </c>
      <c r="AE26" s="377"/>
      <c r="AF26" s="377"/>
      <c r="AG26" s="376">
        <f t="shared" si="1"/>
        <v>0</v>
      </c>
      <c r="AH26" s="353"/>
      <c r="AI26" s="354"/>
      <c r="AJ26" s="354"/>
      <c r="AK26" s="354"/>
      <c r="AL26" s="354"/>
      <c r="AM26" s="354"/>
      <c r="AN26" s="354"/>
      <c r="AO26" s="354"/>
    </row>
    <row r="27" spans="1:41" s="10" customFormat="1" ht="24" hidden="1" customHeight="1" x14ac:dyDescent="0.25">
      <c r="A27" s="363" t="s">
        <v>70</v>
      </c>
      <c r="B27" s="364" t="s">
        <v>71</v>
      </c>
      <c r="C27" s="365">
        <v>0</v>
      </c>
      <c r="D27" s="365"/>
      <c r="E27" s="365"/>
      <c r="F27" s="365"/>
      <c r="G27" s="366"/>
      <c r="H27" s="366"/>
      <c r="I27" s="366"/>
      <c r="J27" s="366"/>
      <c r="K27" s="367"/>
      <c r="L27" s="368"/>
      <c r="M27" s="369"/>
      <c r="N27" s="370">
        <f t="shared" si="3"/>
        <v>0</v>
      </c>
      <c r="O27" s="371"/>
      <c r="P27" s="371"/>
      <c r="Q27" s="371"/>
      <c r="R27" s="371"/>
      <c r="S27" s="371"/>
      <c r="T27" s="371"/>
      <c r="U27" s="372">
        <f t="shared" si="4"/>
        <v>0</v>
      </c>
      <c r="V27" s="371"/>
      <c r="W27" s="371"/>
      <c r="X27" s="366"/>
      <c r="Y27" s="366"/>
      <c r="Z27" s="373">
        <f t="shared" si="2"/>
        <v>0</v>
      </c>
      <c r="AA27" s="366"/>
      <c r="AB27" s="374"/>
      <c r="AC27" s="375"/>
      <c r="AD27" s="376">
        <f t="shared" si="0"/>
        <v>0</v>
      </c>
      <c r="AE27" s="377"/>
      <c r="AF27" s="377"/>
      <c r="AG27" s="376">
        <f t="shared" si="1"/>
        <v>0</v>
      </c>
      <c r="AH27" s="353"/>
      <c r="AI27" s="354"/>
      <c r="AJ27" s="354"/>
      <c r="AK27" s="354"/>
      <c r="AL27" s="354"/>
      <c r="AM27" s="354"/>
      <c r="AN27" s="354"/>
      <c r="AO27" s="354"/>
    </row>
    <row r="28" spans="1:41" s="10" customFormat="1" ht="24" customHeight="1" x14ac:dyDescent="0.25">
      <c r="A28" s="381" t="s">
        <v>72</v>
      </c>
      <c r="B28" s="382" t="s">
        <v>73</v>
      </c>
      <c r="C28" s="361">
        <f>C29+C30+C31+C32+C33+C34+C35+C36+C37+C38+C39+C40</f>
        <v>7756.2</v>
      </c>
      <c r="D28" s="361">
        <f t="shared" ref="D28:K28" si="5">D29+D30+D31+D32+D33+D34+D35+D36+D37+D38+D39+D40</f>
        <v>4461.5</v>
      </c>
      <c r="E28" s="361">
        <f t="shared" si="5"/>
        <v>8</v>
      </c>
      <c r="F28" s="361">
        <f t="shared" si="5"/>
        <v>1102.8</v>
      </c>
      <c r="G28" s="361">
        <f t="shared" si="5"/>
        <v>0</v>
      </c>
      <c r="H28" s="361">
        <f t="shared" si="5"/>
        <v>0</v>
      </c>
      <c r="I28" s="361">
        <f t="shared" si="5"/>
        <v>0</v>
      </c>
      <c r="J28" s="361">
        <f t="shared" si="5"/>
        <v>0</v>
      </c>
      <c r="K28" s="361">
        <f t="shared" si="5"/>
        <v>0</v>
      </c>
      <c r="L28" s="383"/>
      <c r="M28" s="384">
        <f>M29+M30+M31+M32+M33+M34+M35+M36+M37+M38+M39+M40+M41+M42</f>
        <v>4388.2000000000007</v>
      </c>
      <c r="N28" s="370">
        <f t="shared" si="3"/>
        <v>-73.299999999999272</v>
      </c>
      <c r="O28" s="384">
        <f>O29+O30+O31+O32+O33+O34+O35+O36+O37+O38+O39+O40+O41+O42</f>
        <v>32</v>
      </c>
      <c r="P28" s="384">
        <f t="shared" ref="P28:T28" si="6">P29+P30+P31+P32+P33+P34+P35+P36+P37+P38+P39+P40+P41+P42</f>
        <v>0</v>
      </c>
      <c r="Q28" s="384">
        <f t="shared" si="6"/>
        <v>0</v>
      </c>
      <c r="R28" s="384">
        <f t="shared" si="6"/>
        <v>0</v>
      </c>
      <c r="S28" s="384">
        <f t="shared" si="6"/>
        <v>0</v>
      </c>
      <c r="T28" s="384">
        <f t="shared" si="6"/>
        <v>519.70000000000005</v>
      </c>
      <c r="U28" s="372">
        <f>Q28+R28+S28+T28</f>
        <v>519.70000000000005</v>
      </c>
      <c r="V28" s="384">
        <f>V29+V30+V31+V32+V33+V34+V35+V36+V37+V38+V39+V40+V41+V42</f>
        <v>2152</v>
      </c>
      <c r="W28" s="384">
        <f>W29+W30+W31+W32+W33+W34+W35+W36+W37+W38+W39+W40+W41+W42</f>
        <v>0</v>
      </c>
      <c r="X28" s="361">
        <f t="shared" ref="X28:AE28" si="7">X29+X30+X31+X32+X33+X34+X35+X36+X37+X38+X39+X40</f>
        <v>0</v>
      </c>
      <c r="Y28" s="361">
        <f t="shared" si="7"/>
        <v>0</v>
      </c>
      <c r="Z28" s="361">
        <f>M28+O28+U28+V28+W28+X28</f>
        <v>7091.9000000000005</v>
      </c>
      <c r="AA28" s="361">
        <f t="shared" si="7"/>
        <v>0</v>
      </c>
      <c r="AB28" s="385">
        <f t="shared" si="7"/>
        <v>422.90000000000003</v>
      </c>
      <c r="AC28" s="386"/>
      <c r="AD28" s="376">
        <f t="shared" si="0"/>
        <v>7514.8</v>
      </c>
      <c r="AE28" s="387">
        <f t="shared" si="7"/>
        <v>50</v>
      </c>
      <c r="AF28" s="387"/>
      <c r="AG28" s="376">
        <f t="shared" si="1"/>
        <v>7564.8</v>
      </c>
      <c r="AH28" s="353"/>
      <c r="AI28" s="354"/>
      <c r="AJ28" s="354"/>
      <c r="AK28" s="354"/>
      <c r="AL28" s="354"/>
      <c r="AM28" s="354"/>
      <c r="AN28" s="354"/>
      <c r="AO28" s="354"/>
    </row>
    <row r="29" spans="1:41" s="10" customFormat="1" ht="24" customHeight="1" x14ac:dyDescent="0.25">
      <c r="A29" s="363" t="s">
        <v>74</v>
      </c>
      <c r="B29" s="364" t="s">
        <v>75</v>
      </c>
      <c r="C29" s="365">
        <v>2660.2</v>
      </c>
      <c r="D29" s="365">
        <v>100</v>
      </c>
      <c r="E29" s="365"/>
      <c r="F29" s="365">
        <v>543.20000000000005</v>
      </c>
      <c r="G29" s="366"/>
      <c r="H29" s="366"/>
      <c r="I29" s="366"/>
      <c r="J29" s="366"/>
      <c r="K29" s="367"/>
      <c r="L29" s="388" t="s">
        <v>76</v>
      </c>
      <c r="M29" s="389">
        <v>100</v>
      </c>
      <c r="N29" s="370">
        <f t="shared" si="3"/>
        <v>0</v>
      </c>
      <c r="O29" s="371"/>
      <c r="P29" s="371"/>
      <c r="Q29" s="371"/>
      <c r="R29" s="371"/>
      <c r="S29" s="371"/>
      <c r="T29" s="371"/>
      <c r="U29" s="372">
        <f t="shared" si="4"/>
        <v>0</v>
      </c>
      <c r="V29" s="371">
        <v>2000</v>
      </c>
      <c r="W29" s="371"/>
      <c r="X29" s="366"/>
      <c r="Y29" s="366"/>
      <c r="Z29" s="379">
        <f t="shared" si="2"/>
        <v>2100</v>
      </c>
      <c r="AA29" s="366"/>
      <c r="AB29" s="374">
        <f>500-100-400</f>
        <v>0</v>
      </c>
      <c r="AC29" s="390"/>
      <c r="AD29" s="376">
        <f t="shared" si="0"/>
        <v>2100</v>
      </c>
      <c r="AE29" s="391"/>
      <c r="AF29" s="391"/>
      <c r="AG29" s="376">
        <f t="shared" si="1"/>
        <v>2100</v>
      </c>
      <c r="AH29" s="353"/>
      <c r="AI29" s="354"/>
      <c r="AJ29" s="354"/>
      <c r="AK29" s="354"/>
      <c r="AL29" s="354"/>
      <c r="AM29" s="354"/>
      <c r="AN29" s="354"/>
      <c r="AO29" s="354"/>
    </row>
    <row r="30" spans="1:41" s="10" customFormat="1" ht="24" customHeight="1" x14ac:dyDescent="0.25">
      <c r="A30" s="363" t="s">
        <v>77</v>
      </c>
      <c r="B30" s="364" t="s">
        <v>78</v>
      </c>
      <c r="C30" s="365">
        <v>8</v>
      </c>
      <c r="D30" s="365">
        <v>8</v>
      </c>
      <c r="E30" s="365"/>
      <c r="F30" s="365"/>
      <c r="G30" s="366"/>
      <c r="H30" s="366"/>
      <c r="I30" s="366"/>
      <c r="J30" s="366"/>
      <c r="K30" s="367"/>
      <c r="L30" s="392" t="s">
        <v>79</v>
      </c>
      <c r="M30" s="371">
        <v>8</v>
      </c>
      <c r="N30" s="370">
        <f t="shared" si="3"/>
        <v>0</v>
      </c>
      <c r="O30" s="393"/>
      <c r="P30" s="393"/>
      <c r="Q30" s="393"/>
      <c r="R30" s="393"/>
      <c r="S30" s="371">
        <v>0</v>
      </c>
      <c r="T30" s="393"/>
      <c r="U30" s="372">
        <f t="shared" si="4"/>
        <v>0</v>
      </c>
      <c r="V30" s="393"/>
      <c r="W30" s="393"/>
      <c r="X30" s="394"/>
      <c r="Y30" s="394"/>
      <c r="Z30" s="379">
        <f t="shared" si="2"/>
        <v>8</v>
      </c>
      <c r="AA30" s="394"/>
      <c r="AB30" s="395"/>
      <c r="AC30" s="375"/>
      <c r="AD30" s="376">
        <f t="shared" si="0"/>
        <v>8</v>
      </c>
      <c r="AE30" s="391"/>
      <c r="AF30" s="391"/>
      <c r="AG30" s="376">
        <f t="shared" si="1"/>
        <v>8</v>
      </c>
      <c r="AH30" s="353"/>
      <c r="AI30" s="354"/>
      <c r="AJ30" s="354"/>
      <c r="AK30" s="354"/>
      <c r="AL30" s="354"/>
      <c r="AM30" s="354"/>
      <c r="AN30" s="354"/>
      <c r="AO30" s="354"/>
    </row>
    <row r="31" spans="1:41" s="10" customFormat="1" ht="24" customHeight="1" x14ac:dyDescent="0.25">
      <c r="A31" s="363" t="s">
        <v>80</v>
      </c>
      <c r="B31" s="364" t="s">
        <v>81</v>
      </c>
      <c r="C31" s="365">
        <v>3.8</v>
      </c>
      <c r="D31" s="365">
        <v>1.2</v>
      </c>
      <c r="E31" s="365"/>
      <c r="F31" s="365"/>
      <c r="G31" s="366"/>
      <c r="H31" s="366"/>
      <c r="I31" s="366"/>
      <c r="J31" s="366"/>
      <c r="K31" s="367"/>
      <c r="L31" s="368" t="s">
        <v>82</v>
      </c>
      <c r="M31" s="369">
        <v>5</v>
      </c>
      <c r="N31" s="370">
        <f t="shared" si="3"/>
        <v>3.8</v>
      </c>
      <c r="O31" s="371"/>
      <c r="P31" s="371"/>
      <c r="Q31" s="371"/>
      <c r="R31" s="371"/>
      <c r="S31" s="371"/>
      <c r="T31" s="371"/>
      <c r="U31" s="372">
        <f t="shared" si="4"/>
        <v>0</v>
      </c>
      <c r="V31" s="371"/>
      <c r="W31" s="371"/>
      <c r="X31" s="366"/>
      <c r="Y31" s="366"/>
      <c r="Z31" s="379">
        <f t="shared" si="2"/>
        <v>5</v>
      </c>
      <c r="AA31" s="366"/>
      <c r="AB31" s="374"/>
      <c r="AC31" s="375"/>
      <c r="AD31" s="376">
        <f t="shared" si="0"/>
        <v>5</v>
      </c>
      <c r="AE31" s="377"/>
      <c r="AF31" s="377"/>
      <c r="AG31" s="376">
        <f t="shared" si="1"/>
        <v>5</v>
      </c>
      <c r="AH31" s="353"/>
      <c r="AI31" s="354"/>
      <c r="AJ31" s="354"/>
      <c r="AK31" s="354"/>
      <c r="AL31" s="354"/>
      <c r="AM31" s="354"/>
      <c r="AN31" s="354"/>
      <c r="AO31" s="354"/>
    </row>
    <row r="32" spans="1:41" s="10" customFormat="1" ht="24" customHeight="1" x14ac:dyDescent="0.25">
      <c r="A32" s="363" t="s">
        <v>83</v>
      </c>
      <c r="B32" s="364" t="s">
        <v>84</v>
      </c>
      <c r="C32" s="365">
        <v>20</v>
      </c>
      <c r="D32" s="365">
        <v>20</v>
      </c>
      <c r="E32" s="365"/>
      <c r="F32" s="365"/>
      <c r="G32" s="366"/>
      <c r="H32" s="366"/>
      <c r="I32" s="366"/>
      <c r="J32" s="366"/>
      <c r="K32" s="367"/>
      <c r="L32" s="368" t="s">
        <v>85</v>
      </c>
      <c r="M32" s="369">
        <v>16</v>
      </c>
      <c r="N32" s="370">
        <f t="shared" si="3"/>
        <v>-4</v>
      </c>
      <c r="O32" s="371"/>
      <c r="P32" s="371"/>
      <c r="Q32" s="371"/>
      <c r="R32" s="371"/>
      <c r="S32" s="371"/>
      <c r="T32" s="371"/>
      <c r="U32" s="372">
        <f t="shared" si="4"/>
        <v>0</v>
      </c>
      <c r="V32" s="371"/>
      <c r="W32" s="371"/>
      <c r="X32" s="366"/>
      <c r="Y32" s="366"/>
      <c r="Z32" s="379">
        <f t="shared" si="2"/>
        <v>16</v>
      </c>
      <c r="AA32" s="366"/>
      <c r="AB32" s="374"/>
      <c r="AC32" s="375"/>
      <c r="AD32" s="376">
        <f t="shared" si="0"/>
        <v>16</v>
      </c>
      <c r="AE32" s="377"/>
      <c r="AF32" s="377"/>
      <c r="AG32" s="376">
        <f t="shared" si="1"/>
        <v>16</v>
      </c>
      <c r="AH32" s="353"/>
      <c r="AI32" s="354"/>
      <c r="AJ32" s="354"/>
      <c r="AK32" s="354"/>
      <c r="AL32" s="354"/>
      <c r="AM32" s="354"/>
      <c r="AN32" s="354"/>
      <c r="AO32" s="354"/>
    </row>
    <row r="33" spans="1:41" s="10" customFormat="1" ht="24" customHeight="1" x14ac:dyDescent="0.25">
      <c r="A33" s="363" t="s">
        <v>86</v>
      </c>
      <c r="B33" s="364" t="s">
        <v>87</v>
      </c>
      <c r="C33" s="365">
        <v>280.39999999999998</v>
      </c>
      <c r="D33" s="365"/>
      <c r="E33" s="365">
        <v>8</v>
      </c>
      <c r="F33" s="365">
        <v>136.4</v>
      </c>
      <c r="G33" s="366"/>
      <c r="H33" s="366"/>
      <c r="I33" s="366"/>
      <c r="J33" s="366"/>
      <c r="K33" s="367"/>
      <c r="L33" s="368"/>
      <c r="M33" s="369"/>
      <c r="N33" s="370">
        <f t="shared" si="3"/>
        <v>0</v>
      </c>
      <c r="O33" s="371">
        <v>32</v>
      </c>
      <c r="P33" s="371"/>
      <c r="Q33" s="371"/>
      <c r="R33" s="371"/>
      <c r="S33" s="371"/>
      <c r="T33" s="371"/>
      <c r="U33" s="372">
        <f t="shared" si="4"/>
        <v>0</v>
      </c>
      <c r="V33" s="371">
        <v>152</v>
      </c>
      <c r="W33" s="371"/>
      <c r="X33" s="366"/>
      <c r="Y33" s="366"/>
      <c r="Z33" s="379">
        <f t="shared" si="2"/>
        <v>184</v>
      </c>
      <c r="AA33" s="366"/>
      <c r="AB33" s="374"/>
      <c r="AC33" s="375"/>
      <c r="AD33" s="376">
        <f t="shared" si="0"/>
        <v>184</v>
      </c>
      <c r="AE33" s="377"/>
      <c r="AF33" s="377"/>
      <c r="AG33" s="376">
        <f t="shared" si="1"/>
        <v>184</v>
      </c>
      <c r="AH33" s="353"/>
      <c r="AI33" s="354"/>
      <c r="AJ33" s="354"/>
      <c r="AK33" s="354"/>
      <c r="AL33" s="354"/>
      <c r="AM33" s="354"/>
      <c r="AN33" s="354"/>
      <c r="AO33" s="354"/>
    </row>
    <row r="34" spans="1:41" s="10" customFormat="1" ht="24" hidden="1" customHeight="1" x14ac:dyDescent="0.25">
      <c r="A34" s="363" t="s">
        <v>88</v>
      </c>
      <c r="B34" s="364" t="s">
        <v>89</v>
      </c>
      <c r="C34" s="365"/>
      <c r="D34" s="365"/>
      <c r="E34" s="365"/>
      <c r="F34" s="365"/>
      <c r="G34" s="366"/>
      <c r="H34" s="366"/>
      <c r="I34" s="366"/>
      <c r="J34" s="366"/>
      <c r="K34" s="367"/>
      <c r="L34" s="368"/>
      <c r="M34" s="369"/>
      <c r="N34" s="370">
        <f t="shared" si="3"/>
        <v>0</v>
      </c>
      <c r="O34" s="371"/>
      <c r="P34" s="371"/>
      <c r="Q34" s="371"/>
      <c r="R34" s="371"/>
      <c r="S34" s="371"/>
      <c r="T34" s="371"/>
      <c r="U34" s="372">
        <f t="shared" si="4"/>
        <v>0</v>
      </c>
      <c r="V34" s="371"/>
      <c r="W34" s="371"/>
      <c r="X34" s="366"/>
      <c r="Y34" s="366"/>
      <c r="Z34" s="379">
        <f t="shared" si="2"/>
        <v>0</v>
      </c>
      <c r="AA34" s="366"/>
      <c r="AB34" s="374"/>
      <c r="AC34" s="375"/>
      <c r="AD34" s="376">
        <f t="shared" si="0"/>
        <v>0</v>
      </c>
      <c r="AE34" s="377"/>
      <c r="AF34" s="377"/>
      <c r="AG34" s="376">
        <f t="shared" si="1"/>
        <v>0</v>
      </c>
      <c r="AH34" s="353"/>
      <c r="AI34" s="354"/>
      <c r="AJ34" s="354"/>
      <c r="AK34" s="354"/>
      <c r="AL34" s="354"/>
      <c r="AM34" s="354"/>
      <c r="AN34" s="354"/>
      <c r="AO34" s="354"/>
    </row>
    <row r="35" spans="1:41" s="10" customFormat="1" ht="24" hidden="1" customHeight="1" x14ac:dyDescent="0.25">
      <c r="A35" s="363" t="s">
        <v>90</v>
      </c>
      <c r="B35" s="364" t="s">
        <v>91</v>
      </c>
      <c r="C35" s="365"/>
      <c r="D35" s="365"/>
      <c r="E35" s="365"/>
      <c r="F35" s="365"/>
      <c r="G35" s="366"/>
      <c r="H35" s="366"/>
      <c r="I35" s="366"/>
      <c r="J35" s="366"/>
      <c r="K35" s="367"/>
      <c r="L35" s="368"/>
      <c r="M35" s="369"/>
      <c r="N35" s="370">
        <f t="shared" si="3"/>
        <v>0</v>
      </c>
      <c r="O35" s="371"/>
      <c r="P35" s="371"/>
      <c r="Q35" s="371"/>
      <c r="R35" s="371"/>
      <c r="S35" s="371"/>
      <c r="T35" s="371"/>
      <c r="U35" s="372">
        <f t="shared" si="4"/>
        <v>0</v>
      </c>
      <c r="V35" s="371"/>
      <c r="W35" s="371"/>
      <c r="X35" s="366"/>
      <c r="Y35" s="366"/>
      <c r="Z35" s="379">
        <f t="shared" si="2"/>
        <v>0</v>
      </c>
      <c r="AA35" s="366"/>
      <c r="AB35" s="374"/>
      <c r="AC35" s="375"/>
      <c r="AD35" s="376">
        <f t="shared" si="0"/>
        <v>0</v>
      </c>
      <c r="AE35" s="377"/>
      <c r="AF35" s="377"/>
      <c r="AG35" s="376">
        <f t="shared" si="1"/>
        <v>0</v>
      </c>
      <c r="AH35" s="353"/>
      <c r="AI35" s="354"/>
      <c r="AJ35" s="354"/>
      <c r="AK35" s="354"/>
      <c r="AL35" s="354"/>
      <c r="AM35" s="354"/>
      <c r="AN35" s="354"/>
      <c r="AO35" s="354"/>
    </row>
    <row r="36" spans="1:41" s="10" customFormat="1" ht="24" customHeight="1" x14ac:dyDescent="0.25">
      <c r="A36" s="363" t="s">
        <v>92</v>
      </c>
      <c r="B36" s="364" t="s">
        <v>93</v>
      </c>
      <c r="C36" s="365">
        <v>1800.3</v>
      </c>
      <c r="D36" s="365">
        <v>1700.3</v>
      </c>
      <c r="E36" s="365"/>
      <c r="F36" s="365">
        <v>100</v>
      </c>
      <c r="G36" s="366"/>
      <c r="H36" s="366"/>
      <c r="I36" s="366"/>
      <c r="J36" s="366"/>
      <c r="K36" s="367"/>
      <c r="L36" s="396" t="s">
        <v>94</v>
      </c>
      <c r="M36" s="371">
        <f>530+200</f>
        <v>730</v>
      </c>
      <c r="N36" s="370">
        <f t="shared" si="3"/>
        <v>-970.3</v>
      </c>
      <c r="O36" s="371"/>
      <c r="P36" s="371"/>
      <c r="Q36" s="371"/>
      <c r="R36" s="371"/>
      <c r="S36" s="371"/>
      <c r="T36" s="371"/>
      <c r="U36" s="372">
        <f t="shared" si="4"/>
        <v>0</v>
      </c>
      <c r="V36" s="371"/>
      <c r="W36" s="371">
        <f>0.3-0.3</f>
        <v>0</v>
      </c>
      <c r="X36" s="397"/>
      <c r="Y36" s="397"/>
      <c r="Z36" s="379">
        <f t="shared" si="2"/>
        <v>730</v>
      </c>
      <c r="AA36" s="397"/>
      <c r="AB36" s="374">
        <f>300-200</f>
        <v>100</v>
      </c>
      <c r="AC36" s="375" t="s">
        <v>95</v>
      </c>
      <c r="AD36" s="376">
        <f t="shared" si="0"/>
        <v>830</v>
      </c>
      <c r="AE36" s="377"/>
      <c r="AF36" s="377"/>
      <c r="AG36" s="376">
        <f t="shared" si="1"/>
        <v>830</v>
      </c>
      <c r="AH36" s="353"/>
      <c r="AI36" s="354"/>
      <c r="AJ36" s="354"/>
      <c r="AK36" s="354"/>
      <c r="AL36" s="354"/>
      <c r="AM36" s="354"/>
      <c r="AN36" s="354"/>
      <c r="AO36" s="354"/>
    </row>
    <row r="37" spans="1:41" s="10" customFormat="1" ht="24" customHeight="1" x14ac:dyDescent="0.25">
      <c r="A37" s="363" t="s">
        <v>96</v>
      </c>
      <c r="B37" s="364" t="s">
        <v>97</v>
      </c>
      <c r="C37" s="365"/>
      <c r="D37" s="365"/>
      <c r="E37" s="365"/>
      <c r="F37" s="365"/>
      <c r="G37" s="366"/>
      <c r="H37" s="366"/>
      <c r="I37" s="366"/>
      <c r="J37" s="366"/>
      <c r="K37" s="367"/>
      <c r="L37" s="368"/>
      <c r="M37" s="369">
        <v>50</v>
      </c>
      <c r="N37" s="370">
        <f t="shared" si="3"/>
        <v>50</v>
      </c>
      <c r="O37" s="371"/>
      <c r="P37" s="371"/>
      <c r="Q37" s="371"/>
      <c r="R37" s="371"/>
      <c r="S37" s="371"/>
      <c r="T37" s="371"/>
      <c r="U37" s="372">
        <f t="shared" si="4"/>
        <v>0</v>
      </c>
      <c r="V37" s="371"/>
      <c r="W37" s="371"/>
      <c r="X37" s="366"/>
      <c r="Y37" s="366"/>
      <c r="Z37" s="379">
        <f t="shared" si="2"/>
        <v>50</v>
      </c>
      <c r="AA37" s="366"/>
      <c r="AB37" s="374"/>
      <c r="AC37" s="375"/>
      <c r="AD37" s="376">
        <f t="shared" si="0"/>
        <v>50</v>
      </c>
      <c r="AE37" s="377">
        <v>50</v>
      </c>
      <c r="AF37" s="377" t="s">
        <v>98</v>
      </c>
      <c r="AG37" s="376">
        <f t="shared" si="1"/>
        <v>100</v>
      </c>
      <c r="AH37" s="353"/>
      <c r="AI37" s="354"/>
      <c r="AJ37" s="354"/>
      <c r="AK37" s="354"/>
      <c r="AL37" s="354"/>
      <c r="AM37" s="354"/>
      <c r="AN37" s="354"/>
      <c r="AO37" s="354"/>
    </row>
    <row r="38" spans="1:41" s="10" customFormat="1" ht="24" customHeight="1" x14ac:dyDescent="0.25">
      <c r="A38" s="363" t="s">
        <v>99</v>
      </c>
      <c r="B38" s="364" t="s">
        <v>100</v>
      </c>
      <c r="C38" s="365">
        <v>2923.2</v>
      </c>
      <c r="D38" s="365">
        <v>2600</v>
      </c>
      <c r="E38" s="365"/>
      <c r="F38" s="365">
        <v>323.2</v>
      </c>
      <c r="G38" s="366"/>
      <c r="H38" s="366"/>
      <c r="I38" s="366"/>
      <c r="J38" s="366"/>
      <c r="K38" s="367"/>
      <c r="L38" s="396" t="s">
        <v>101</v>
      </c>
      <c r="M38" s="371">
        <f>1969.5-0.7+900</f>
        <v>2868.8</v>
      </c>
      <c r="N38" s="370">
        <f t="shared" si="3"/>
        <v>268.80000000000018</v>
      </c>
      <c r="O38" s="371"/>
      <c r="P38" s="371"/>
      <c r="Q38" s="371"/>
      <c r="R38" s="371"/>
      <c r="S38" s="371"/>
      <c r="T38" s="371"/>
      <c r="U38" s="372">
        <f t="shared" si="4"/>
        <v>0</v>
      </c>
      <c r="V38" s="371"/>
      <c r="W38" s="371"/>
      <c r="X38" s="397"/>
      <c r="Y38" s="397"/>
      <c r="Z38" s="379">
        <f t="shared" si="2"/>
        <v>2868.8</v>
      </c>
      <c r="AA38" s="397"/>
      <c r="AB38" s="374">
        <f>1221.5+0.7-900</f>
        <v>322.20000000000005</v>
      </c>
      <c r="AC38" s="386" t="s">
        <v>102</v>
      </c>
      <c r="AD38" s="376">
        <f t="shared" si="0"/>
        <v>3191</v>
      </c>
      <c r="AE38" s="398"/>
      <c r="AF38" s="398"/>
      <c r="AG38" s="376">
        <f t="shared" si="1"/>
        <v>3191</v>
      </c>
      <c r="AH38" s="353"/>
      <c r="AI38" s="354"/>
      <c r="AJ38" s="354"/>
      <c r="AK38" s="354"/>
      <c r="AL38" s="354"/>
      <c r="AM38" s="354"/>
      <c r="AN38" s="354"/>
      <c r="AO38" s="354"/>
    </row>
    <row r="39" spans="1:41" s="10" customFormat="1" ht="24" customHeight="1" x14ac:dyDescent="0.25">
      <c r="A39" s="363" t="s">
        <v>103</v>
      </c>
      <c r="B39" s="364" t="s">
        <v>104</v>
      </c>
      <c r="C39" s="365"/>
      <c r="D39" s="365"/>
      <c r="E39" s="365"/>
      <c r="F39" s="365"/>
      <c r="G39" s="366"/>
      <c r="H39" s="366"/>
      <c r="I39" s="366"/>
      <c r="J39" s="366"/>
      <c r="K39" s="367"/>
      <c r="L39" s="368"/>
      <c r="M39" s="369">
        <f>7.1-0.5</f>
        <v>6.6</v>
      </c>
      <c r="N39" s="370">
        <f t="shared" si="3"/>
        <v>6.6</v>
      </c>
      <c r="O39" s="371"/>
      <c r="P39" s="371"/>
      <c r="Q39" s="371"/>
      <c r="R39" s="371"/>
      <c r="S39" s="371"/>
      <c r="T39" s="371"/>
      <c r="U39" s="372">
        <f t="shared" si="4"/>
        <v>0</v>
      </c>
      <c r="V39" s="371"/>
      <c r="W39" s="371"/>
      <c r="X39" s="366"/>
      <c r="Y39" s="366"/>
      <c r="Z39" s="379">
        <f t="shared" si="2"/>
        <v>6.6</v>
      </c>
      <c r="AA39" s="366"/>
      <c r="AB39" s="374">
        <v>0.5</v>
      </c>
      <c r="AC39" s="375" t="s">
        <v>105</v>
      </c>
      <c r="AD39" s="376">
        <f t="shared" si="0"/>
        <v>7.1</v>
      </c>
      <c r="AE39" s="377"/>
      <c r="AF39" s="377"/>
      <c r="AG39" s="376">
        <f t="shared" si="1"/>
        <v>7.1</v>
      </c>
      <c r="AH39" s="353"/>
      <c r="AI39" s="354"/>
      <c r="AJ39" s="354"/>
      <c r="AK39" s="354"/>
      <c r="AL39" s="354"/>
      <c r="AM39" s="354"/>
      <c r="AN39" s="354"/>
      <c r="AO39" s="354"/>
    </row>
    <row r="40" spans="1:41" s="10" customFormat="1" ht="24" customHeight="1" x14ac:dyDescent="0.25">
      <c r="A40" s="363" t="s">
        <v>106</v>
      </c>
      <c r="B40" s="364" t="s">
        <v>107</v>
      </c>
      <c r="C40" s="365">
        <v>60.3</v>
      </c>
      <c r="D40" s="365">
        <v>32</v>
      </c>
      <c r="E40" s="365"/>
      <c r="F40" s="365"/>
      <c r="G40" s="366"/>
      <c r="H40" s="366"/>
      <c r="I40" s="366"/>
      <c r="J40" s="366"/>
      <c r="K40" s="367"/>
      <c r="L40" s="368"/>
      <c r="M40" s="371">
        <f>32-0.2</f>
        <v>31.8</v>
      </c>
      <c r="N40" s="370">
        <f t="shared" si="3"/>
        <v>-0.19999999999999929</v>
      </c>
      <c r="O40" s="371"/>
      <c r="P40" s="371"/>
      <c r="Q40" s="371"/>
      <c r="R40" s="371"/>
      <c r="S40" s="371"/>
      <c r="T40" s="371">
        <v>28.3</v>
      </c>
      <c r="U40" s="372">
        <f t="shared" si="4"/>
        <v>28.3</v>
      </c>
      <c r="V40" s="371"/>
      <c r="W40" s="371"/>
      <c r="X40" s="366"/>
      <c r="Y40" s="366"/>
      <c r="Z40" s="379">
        <f t="shared" si="2"/>
        <v>60.1</v>
      </c>
      <c r="AA40" s="366"/>
      <c r="AB40" s="374">
        <v>0.2</v>
      </c>
      <c r="AC40" s="375" t="s">
        <v>108</v>
      </c>
      <c r="AD40" s="376">
        <f t="shared" si="0"/>
        <v>60.300000000000004</v>
      </c>
      <c r="AE40" s="377"/>
      <c r="AF40" s="377"/>
      <c r="AG40" s="376">
        <f t="shared" si="1"/>
        <v>60.300000000000004</v>
      </c>
      <c r="AH40" s="353"/>
      <c r="AI40" s="354"/>
      <c r="AJ40" s="354"/>
      <c r="AK40" s="354"/>
      <c r="AL40" s="354"/>
      <c r="AM40" s="354"/>
      <c r="AN40" s="354"/>
      <c r="AO40" s="354"/>
    </row>
    <row r="41" spans="1:41" s="10" customFormat="1" ht="24" customHeight="1" x14ac:dyDescent="0.25">
      <c r="A41" s="363" t="s">
        <v>109</v>
      </c>
      <c r="B41" s="364" t="s">
        <v>110</v>
      </c>
      <c r="C41" s="365">
        <v>0</v>
      </c>
      <c r="D41" s="365"/>
      <c r="E41" s="365"/>
      <c r="F41" s="365"/>
      <c r="G41" s="366"/>
      <c r="H41" s="366"/>
      <c r="I41" s="366"/>
      <c r="J41" s="366"/>
      <c r="K41" s="367"/>
      <c r="L41" s="399"/>
      <c r="M41" s="371">
        <f>67.2+380-0.7-4</f>
        <v>442.5</v>
      </c>
      <c r="N41" s="370">
        <f t="shared" si="3"/>
        <v>442.5</v>
      </c>
      <c r="O41" s="371"/>
      <c r="P41" s="371"/>
      <c r="Q41" s="371"/>
      <c r="R41" s="371"/>
      <c r="S41" s="371"/>
      <c r="T41" s="371">
        <v>380</v>
      </c>
      <c r="U41" s="372">
        <f t="shared" si="4"/>
        <v>380</v>
      </c>
      <c r="V41" s="371"/>
      <c r="W41" s="371"/>
      <c r="X41" s="366"/>
      <c r="Y41" s="366"/>
      <c r="Z41" s="379">
        <f t="shared" si="2"/>
        <v>822.5</v>
      </c>
      <c r="AA41" s="366"/>
      <c r="AB41" s="374">
        <f>0.7+4</f>
        <v>4.7</v>
      </c>
      <c r="AC41" s="375" t="s">
        <v>111</v>
      </c>
      <c r="AD41" s="376">
        <f t="shared" si="0"/>
        <v>827.2</v>
      </c>
      <c r="AE41" s="377"/>
      <c r="AF41" s="377"/>
      <c r="AG41" s="376">
        <f t="shared" si="1"/>
        <v>827.2</v>
      </c>
      <c r="AH41" s="353"/>
      <c r="AI41" s="354"/>
      <c r="AJ41" s="354"/>
      <c r="AK41" s="354"/>
      <c r="AL41" s="354"/>
      <c r="AM41" s="354"/>
      <c r="AN41" s="354"/>
      <c r="AO41" s="354"/>
    </row>
    <row r="42" spans="1:41" s="10" customFormat="1" ht="24" customHeight="1" x14ac:dyDescent="0.25">
      <c r="A42" s="363" t="s">
        <v>112</v>
      </c>
      <c r="B42" s="364" t="s">
        <v>113</v>
      </c>
      <c r="C42" s="365">
        <v>0</v>
      </c>
      <c r="D42" s="365"/>
      <c r="E42" s="365"/>
      <c r="F42" s="365"/>
      <c r="G42" s="366"/>
      <c r="H42" s="366"/>
      <c r="I42" s="366"/>
      <c r="J42" s="366"/>
      <c r="K42" s="367"/>
      <c r="L42" s="399"/>
      <c r="M42" s="371">
        <f>20+111.4-0.3-1.6</f>
        <v>129.5</v>
      </c>
      <c r="N42" s="370">
        <f t="shared" si="3"/>
        <v>129.5</v>
      </c>
      <c r="O42" s="371"/>
      <c r="P42" s="371"/>
      <c r="Q42" s="371"/>
      <c r="R42" s="371"/>
      <c r="S42" s="371"/>
      <c r="T42" s="371">
        <v>111.4</v>
      </c>
      <c r="U42" s="372">
        <f t="shared" si="4"/>
        <v>111.4</v>
      </c>
      <c r="V42" s="371"/>
      <c r="W42" s="371"/>
      <c r="X42" s="366"/>
      <c r="Y42" s="366"/>
      <c r="Z42" s="379">
        <f t="shared" si="2"/>
        <v>240.9</v>
      </c>
      <c r="AA42" s="366"/>
      <c r="AB42" s="374">
        <f>0.3+1.6</f>
        <v>1.9000000000000001</v>
      </c>
      <c r="AC42" s="375" t="s">
        <v>114</v>
      </c>
      <c r="AD42" s="376">
        <f t="shared" si="0"/>
        <v>242.8</v>
      </c>
      <c r="AE42" s="377"/>
      <c r="AF42" s="377"/>
      <c r="AG42" s="376">
        <f t="shared" si="1"/>
        <v>242.8</v>
      </c>
      <c r="AH42" s="353"/>
      <c r="AI42" s="354"/>
      <c r="AJ42" s="354"/>
      <c r="AK42" s="354"/>
      <c r="AL42" s="354"/>
      <c r="AM42" s="354"/>
      <c r="AN42" s="354"/>
      <c r="AO42" s="354"/>
    </row>
    <row r="43" spans="1:41" s="10" customFormat="1" ht="24" customHeight="1" x14ac:dyDescent="0.25">
      <c r="A43" s="355" t="s">
        <v>115</v>
      </c>
      <c r="B43" s="356" t="s">
        <v>116</v>
      </c>
      <c r="C43" s="357">
        <f>C44+C59</f>
        <v>13060.7</v>
      </c>
      <c r="D43" s="357">
        <f t="shared" ref="D43:K43" si="8">D44+D59</f>
        <v>4594.7</v>
      </c>
      <c r="E43" s="357">
        <f t="shared" si="8"/>
        <v>0</v>
      </c>
      <c r="F43" s="357">
        <f t="shared" si="8"/>
        <v>2197.5999999999995</v>
      </c>
      <c r="G43" s="357">
        <f t="shared" si="8"/>
        <v>0</v>
      </c>
      <c r="H43" s="357">
        <f t="shared" si="8"/>
        <v>0</v>
      </c>
      <c r="I43" s="357">
        <f t="shared" si="8"/>
        <v>0</v>
      </c>
      <c r="J43" s="357">
        <f t="shared" si="8"/>
        <v>0</v>
      </c>
      <c r="K43" s="357">
        <f t="shared" si="8"/>
        <v>0</v>
      </c>
      <c r="L43" s="400"/>
      <c r="M43" s="401">
        <f>M44+M59</f>
        <v>7184.8000000000011</v>
      </c>
      <c r="N43" s="370">
        <f t="shared" si="3"/>
        <v>2590.1000000000013</v>
      </c>
      <c r="O43" s="384">
        <f>O44+O59</f>
        <v>20</v>
      </c>
      <c r="P43" s="384">
        <f t="shared" ref="P43:AE43" si="9">P44+P59</f>
        <v>0</v>
      </c>
      <c r="Q43" s="384">
        <f t="shared" si="9"/>
        <v>0</v>
      </c>
      <c r="R43" s="384">
        <f t="shared" si="9"/>
        <v>20</v>
      </c>
      <c r="S43" s="384">
        <f t="shared" si="9"/>
        <v>3670</v>
      </c>
      <c r="T43" s="384">
        <f t="shared" si="9"/>
        <v>3418.5</v>
      </c>
      <c r="U43" s="372">
        <f t="shared" si="4"/>
        <v>7108.5</v>
      </c>
      <c r="V43" s="384">
        <f t="shared" si="9"/>
        <v>0</v>
      </c>
      <c r="W43" s="384">
        <f t="shared" si="9"/>
        <v>1070</v>
      </c>
      <c r="X43" s="357">
        <f t="shared" si="9"/>
        <v>0</v>
      </c>
      <c r="Y43" s="357">
        <f t="shared" si="9"/>
        <v>0</v>
      </c>
      <c r="Z43" s="402">
        <f>M43+O43+U43+V43+W43+X43</f>
        <v>15383.300000000001</v>
      </c>
      <c r="AA43" s="357">
        <f t="shared" si="9"/>
        <v>0</v>
      </c>
      <c r="AB43" s="385">
        <f t="shared" si="9"/>
        <v>4404.3</v>
      </c>
      <c r="AC43" s="386"/>
      <c r="AD43" s="376">
        <f t="shared" si="0"/>
        <v>19787.600000000002</v>
      </c>
      <c r="AE43" s="387">
        <f t="shared" si="9"/>
        <v>200</v>
      </c>
      <c r="AF43" s="387"/>
      <c r="AG43" s="376">
        <f t="shared" si="1"/>
        <v>19987.600000000002</v>
      </c>
      <c r="AH43" s="353"/>
      <c r="AI43" s="354"/>
      <c r="AJ43" s="354"/>
      <c r="AK43" s="354"/>
      <c r="AL43" s="354"/>
      <c r="AM43" s="354"/>
      <c r="AN43" s="354"/>
      <c r="AO43" s="354"/>
    </row>
    <row r="44" spans="1:41" s="10" customFormat="1" ht="24" customHeight="1" x14ac:dyDescent="0.25">
      <c r="A44" s="359" t="s">
        <v>117</v>
      </c>
      <c r="B44" s="360" t="s">
        <v>118</v>
      </c>
      <c r="C44" s="361">
        <f>C45+C46+C47+C48+C49+C50+C51+C52+C53+C54++C55+C56+C57+C58</f>
        <v>11015.800000000001</v>
      </c>
      <c r="D44" s="361">
        <f t="shared" ref="D44:K44" si="10">D45+D46+D47+D48+D49+D50+D51+D52+D53+D54++D55+D56</f>
        <v>3670.8</v>
      </c>
      <c r="E44" s="361">
        <f t="shared" si="10"/>
        <v>0</v>
      </c>
      <c r="F44" s="361">
        <f t="shared" si="10"/>
        <v>1101.5999999999999</v>
      </c>
      <c r="G44" s="361">
        <f t="shared" si="10"/>
        <v>0</v>
      </c>
      <c r="H44" s="361">
        <f t="shared" si="10"/>
        <v>0</v>
      </c>
      <c r="I44" s="361">
        <f t="shared" si="10"/>
        <v>0</v>
      </c>
      <c r="J44" s="361">
        <f t="shared" si="10"/>
        <v>0</v>
      </c>
      <c r="K44" s="361">
        <f t="shared" si="10"/>
        <v>0</v>
      </c>
      <c r="L44" s="383"/>
      <c r="M44" s="401">
        <f>M45+M46+M47+M48+M49+M50+M51+M52+M53+M54++M55+M56+M57+M58</f>
        <v>4459.4000000000005</v>
      </c>
      <c r="N44" s="370">
        <f t="shared" si="3"/>
        <v>788.60000000000036</v>
      </c>
      <c r="O44" s="384">
        <f>O45+O46+O47+O48+O49+O50+O51+O52+O53+O54++O55+O56+O57+O58</f>
        <v>0</v>
      </c>
      <c r="P44" s="384">
        <f t="shared" ref="P44:T44" si="11">P45+P46+P47+P48+P49+P50+P51+P52+P53+P54++P55+P56+P57+P58</f>
        <v>0</v>
      </c>
      <c r="Q44" s="384">
        <f t="shared" si="11"/>
        <v>0</v>
      </c>
      <c r="R44" s="384">
        <f t="shared" si="11"/>
        <v>0</v>
      </c>
      <c r="S44" s="384">
        <f t="shared" si="11"/>
        <v>3670</v>
      </c>
      <c r="T44" s="384">
        <f t="shared" si="11"/>
        <v>952.69999999999993</v>
      </c>
      <c r="U44" s="372">
        <f>Q44+R44+S44+T44</f>
        <v>4622.7</v>
      </c>
      <c r="V44" s="384">
        <f>V45+V46+V47+V48+V49+V50+V51+V52+V53+V54++V55+V56+V57+V58</f>
        <v>0</v>
      </c>
      <c r="W44" s="384">
        <f>W45+W46+W47+W48+W49+W50+W51+W52+W53+W54++W55+W56+W57+W58</f>
        <v>0</v>
      </c>
      <c r="X44" s="361">
        <f t="shared" ref="X44:AA44" si="12">X45+X46+X47+X48+X49+X50+X51+X52+X53+X54++X55+X56</f>
        <v>0</v>
      </c>
      <c r="Y44" s="361">
        <f t="shared" si="12"/>
        <v>0</v>
      </c>
      <c r="Z44" s="403">
        <f>M44+O44+U44+V44+W44+X44</f>
        <v>9082.1</v>
      </c>
      <c r="AA44" s="361">
        <f t="shared" si="12"/>
        <v>0</v>
      </c>
      <c r="AB44" s="385">
        <f>AB45+AB46+AB47+AB48+AB49+AB50+AB51+AB52+AB53+AB54++AB55+AB56+AB57+AB58</f>
        <v>3166.2000000000003</v>
      </c>
      <c r="AC44" s="386"/>
      <c r="AD44" s="376">
        <f t="shared" si="0"/>
        <v>12248.300000000001</v>
      </c>
      <c r="AE44" s="387">
        <f>AE45+AE46+AE47+AE48+AE49+AE50+AE51+AE52+AE53+AE54++AE55+AE56+AE57+AE58</f>
        <v>200</v>
      </c>
      <c r="AF44" s="387"/>
      <c r="AG44" s="376">
        <f t="shared" si="1"/>
        <v>12448.300000000001</v>
      </c>
      <c r="AH44" s="353"/>
      <c r="AI44" s="354"/>
      <c r="AJ44" s="354"/>
      <c r="AK44" s="354"/>
      <c r="AL44" s="354"/>
      <c r="AM44" s="354"/>
      <c r="AN44" s="354"/>
      <c r="AO44" s="354"/>
    </row>
    <row r="45" spans="1:41" s="10" customFormat="1" ht="24" hidden="1" customHeight="1" x14ac:dyDescent="0.25">
      <c r="A45" s="363" t="s">
        <v>119</v>
      </c>
      <c r="B45" s="364" t="s">
        <v>120</v>
      </c>
      <c r="C45" s="365">
        <v>1477.4</v>
      </c>
      <c r="D45" s="365"/>
      <c r="E45" s="365"/>
      <c r="F45" s="365">
        <v>28</v>
      </c>
      <c r="G45" s="366"/>
      <c r="H45" s="366"/>
      <c r="I45" s="366"/>
      <c r="J45" s="366"/>
      <c r="K45" s="367"/>
      <c r="L45" s="368"/>
      <c r="M45" s="369">
        <v>0</v>
      </c>
      <c r="N45" s="370">
        <f t="shared" si="3"/>
        <v>0</v>
      </c>
      <c r="O45" s="371"/>
      <c r="P45" s="371"/>
      <c r="Q45" s="371"/>
      <c r="R45" s="371"/>
      <c r="S45" s="371"/>
      <c r="T45" s="371"/>
      <c r="U45" s="372">
        <f t="shared" si="4"/>
        <v>0</v>
      </c>
      <c r="V45" s="371"/>
      <c r="W45" s="371"/>
      <c r="X45" s="366"/>
      <c r="Y45" s="366"/>
      <c r="Z45" s="373">
        <f t="shared" si="2"/>
        <v>0</v>
      </c>
      <c r="AA45" s="366"/>
      <c r="AB45" s="374">
        <f>27.4-27.4</f>
        <v>0</v>
      </c>
      <c r="AC45" s="375"/>
      <c r="AD45" s="376">
        <f t="shared" si="0"/>
        <v>0</v>
      </c>
      <c r="AE45" s="377"/>
      <c r="AF45" s="377"/>
      <c r="AG45" s="376">
        <f t="shared" si="1"/>
        <v>0</v>
      </c>
      <c r="AH45" s="353"/>
      <c r="AI45" s="354"/>
      <c r="AJ45" s="354"/>
      <c r="AK45" s="354"/>
      <c r="AL45" s="354"/>
      <c r="AM45" s="354"/>
      <c r="AN45" s="354"/>
      <c r="AO45" s="354"/>
    </row>
    <row r="46" spans="1:41" s="10" customFormat="1" ht="24" hidden="1" customHeight="1" x14ac:dyDescent="0.25">
      <c r="A46" s="363" t="s">
        <v>121</v>
      </c>
      <c r="B46" s="364" t="s">
        <v>122</v>
      </c>
      <c r="C46" s="365"/>
      <c r="D46" s="365"/>
      <c r="E46" s="365"/>
      <c r="F46" s="365"/>
      <c r="G46" s="366"/>
      <c r="H46" s="366"/>
      <c r="I46" s="366"/>
      <c r="J46" s="366"/>
      <c r="K46" s="367"/>
      <c r="L46" s="368"/>
      <c r="M46" s="369"/>
      <c r="N46" s="370">
        <f t="shared" si="3"/>
        <v>0</v>
      </c>
      <c r="O46" s="371"/>
      <c r="P46" s="371"/>
      <c r="Q46" s="371"/>
      <c r="R46" s="371"/>
      <c r="S46" s="371"/>
      <c r="T46" s="371"/>
      <c r="U46" s="372">
        <f t="shared" si="4"/>
        <v>0</v>
      </c>
      <c r="V46" s="371"/>
      <c r="W46" s="371"/>
      <c r="X46" s="366"/>
      <c r="Y46" s="366"/>
      <c r="Z46" s="373">
        <f t="shared" si="2"/>
        <v>0</v>
      </c>
      <c r="AA46" s="366"/>
      <c r="AB46" s="374"/>
      <c r="AC46" s="375"/>
      <c r="AD46" s="376">
        <f t="shared" si="0"/>
        <v>0</v>
      </c>
      <c r="AE46" s="377"/>
      <c r="AF46" s="377"/>
      <c r="AG46" s="376">
        <f t="shared" si="1"/>
        <v>0</v>
      </c>
      <c r="AH46" s="353"/>
      <c r="AI46" s="354"/>
      <c r="AJ46" s="354"/>
      <c r="AK46" s="354"/>
      <c r="AL46" s="354"/>
      <c r="AM46" s="354"/>
      <c r="AN46" s="354"/>
      <c r="AO46" s="354"/>
    </row>
    <row r="47" spans="1:41" s="10" customFormat="1" ht="24" customHeight="1" x14ac:dyDescent="0.25">
      <c r="A47" s="363" t="s">
        <v>123</v>
      </c>
      <c r="B47" s="364" t="s">
        <v>124</v>
      </c>
      <c r="C47" s="365">
        <v>870</v>
      </c>
      <c r="D47" s="365">
        <v>729.3</v>
      </c>
      <c r="E47" s="365"/>
      <c r="F47" s="365">
        <v>140.69999999999999</v>
      </c>
      <c r="G47" s="366"/>
      <c r="H47" s="366"/>
      <c r="I47" s="366"/>
      <c r="J47" s="366"/>
      <c r="K47" s="367"/>
      <c r="L47" s="368" t="s">
        <v>125</v>
      </c>
      <c r="M47" s="371">
        <f>795+200</f>
        <v>995</v>
      </c>
      <c r="N47" s="370">
        <f t="shared" si="3"/>
        <v>265.70000000000005</v>
      </c>
      <c r="O47" s="371"/>
      <c r="P47" s="371"/>
      <c r="Q47" s="371"/>
      <c r="R47" s="371"/>
      <c r="S47" s="371"/>
      <c r="T47" s="371"/>
      <c r="U47" s="372">
        <f t="shared" si="4"/>
        <v>0</v>
      </c>
      <c r="V47" s="371"/>
      <c r="W47" s="371"/>
      <c r="X47" s="366"/>
      <c r="Y47" s="366"/>
      <c r="Z47" s="379">
        <f t="shared" si="2"/>
        <v>995</v>
      </c>
      <c r="AA47" s="366"/>
      <c r="AB47" s="374">
        <f>300-200</f>
        <v>100</v>
      </c>
      <c r="AC47" s="386" t="s">
        <v>126</v>
      </c>
      <c r="AD47" s="376">
        <f t="shared" si="0"/>
        <v>1095</v>
      </c>
      <c r="AE47" s="377">
        <v>200</v>
      </c>
      <c r="AF47" s="404" t="s">
        <v>127</v>
      </c>
      <c r="AG47" s="376">
        <f t="shared" si="1"/>
        <v>1295</v>
      </c>
      <c r="AH47" s="353"/>
      <c r="AI47" s="354"/>
      <c r="AJ47" s="354"/>
      <c r="AK47" s="354"/>
      <c r="AL47" s="354"/>
      <c r="AM47" s="354"/>
      <c r="AN47" s="354"/>
      <c r="AO47" s="354"/>
    </row>
    <row r="48" spans="1:41" s="10" customFormat="1" ht="24" hidden="1" customHeight="1" x14ac:dyDescent="0.25">
      <c r="A48" s="363" t="s">
        <v>128</v>
      </c>
      <c r="B48" s="364" t="s">
        <v>129</v>
      </c>
      <c r="C48" s="365">
        <v>539.6</v>
      </c>
      <c r="D48" s="365">
        <v>54.2</v>
      </c>
      <c r="E48" s="365"/>
      <c r="F48" s="365">
        <v>287.39999999999998</v>
      </c>
      <c r="G48" s="366"/>
      <c r="H48" s="366"/>
      <c r="I48" s="366"/>
      <c r="J48" s="366"/>
      <c r="K48" s="367"/>
      <c r="L48" s="368"/>
      <c r="M48" s="371"/>
      <c r="N48" s="370">
        <f t="shared" si="3"/>
        <v>-54.2</v>
      </c>
      <c r="O48" s="371"/>
      <c r="P48" s="371"/>
      <c r="Q48" s="371"/>
      <c r="R48" s="371"/>
      <c r="S48" s="371"/>
      <c r="T48" s="371"/>
      <c r="U48" s="372">
        <f t="shared" si="4"/>
        <v>0</v>
      </c>
      <c r="V48" s="371"/>
      <c r="W48" s="371"/>
      <c r="X48" s="366"/>
      <c r="Y48" s="366"/>
      <c r="Z48" s="379">
        <f t="shared" si="2"/>
        <v>0</v>
      </c>
      <c r="AA48" s="366"/>
      <c r="AB48" s="374"/>
      <c r="AC48" s="375"/>
      <c r="AD48" s="376">
        <f t="shared" si="0"/>
        <v>0</v>
      </c>
      <c r="AE48" s="377"/>
      <c r="AF48" s="377"/>
      <c r="AG48" s="376">
        <f t="shared" si="1"/>
        <v>0</v>
      </c>
      <c r="AH48" s="353"/>
      <c r="AI48" s="354"/>
      <c r="AJ48" s="354"/>
      <c r="AK48" s="354"/>
      <c r="AL48" s="354"/>
      <c r="AM48" s="354"/>
      <c r="AN48" s="354"/>
      <c r="AO48" s="354"/>
    </row>
    <row r="49" spans="1:41" s="9" customFormat="1" ht="24" customHeight="1" x14ac:dyDescent="0.25">
      <c r="A49" s="405" t="s">
        <v>130</v>
      </c>
      <c r="B49" s="406" t="s">
        <v>131</v>
      </c>
      <c r="C49" s="407">
        <v>5561.5</v>
      </c>
      <c r="D49" s="407">
        <v>1913.4</v>
      </c>
      <c r="E49" s="407"/>
      <c r="F49" s="407">
        <v>645.5</v>
      </c>
      <c r="G49" s="408"/>
      <c r="H49" s="408"/>
      <c r="I49" s="408"/>
      <c r="J49" s="408"/>
      <c r="K49" s="408"/>
      <c r="L49" s="409" t="s">
        <v>132</v>
      </c>
      <c r="M49" s="410">
        <f>3537.5-1500+114</f>
        <v>2151.5</v>
      </c>
      <c r="N49" s="411">
        <f t="shared" si="3"/>
        <v>238.09999999999991</v>
      </c>
      <c r="O49" s="410"/>
      <c r="P49" s="410"/>
      <c r="Q49" s="410"/>
      <c r="R49" s="410"/>
      <c r="S49" s="410">
        <v>3670</v>
      </c>
      <c r="T49" s="410"/>
      <c r="U49" s="412">
        <f t="shared" si="4"/>
        <v>3670</v>
      </c>
      <c r="V49" s="410"/>
      <c r="W49" s="410"/>
      <c r="X49" s="408"/>
      <c r="Y49" s="408"/>
      <c r="Z49" s="379">
        <f t="shared" si="2"/>
        <v>5821.5</v>
      </c>
      <c r="AA49" s="408"/>
      <c r="AB49" s="413">
        <f>1120.2+1500-114</f>
        <v>2506.1999999999998</v>
      </c>
      <c r="AC49" s="414" t="s">
        <v>133</v>
      </c>
      <c r="AD49" s="415">
        <f t="shared" si="0"/>
        <v>8327.7000000000007</v>
      </c>
      <c r="AE49" s="416"/>
      <c r="AF49" s="416"/>
      <c r="AG49" s="415">
        <f t="shared" si="1"/>
        <v>8327.7000000000007</v>
      </c>
      <c r="AH49" s="353"/>
      <c r="AI49" s="80"/>
      <c r="AJ49" s="80"/>
      <c r="AK49" s="80"/>
      <c r="AL49" s="80"/>
      <c r="AM49" s="80"/>
      <c r="AN49" s="80"/>
      <c r="AO49" s="80"/>
    </row>
    <row r="50" spans="1:41" s="10" customFormat="1" ht="24" customHeight="1" x14ac:dyDescent="0.25">
      <c r="A50" s="363" t="s">
        <v>134</v>
      </c>
      <c r="B50" s="364" t="s">
        <v>135</v>
      </c>
      <c r="C50" s="365">
        <v>200</v>
      </c>
      <c r="D50" s="365">
        <v>200</v>
      </c>
      <c r="E50" s="365"/>
      <c r="F50" s="365"/>
      <c r="G50" s="366"/>
      <c r="H50" s="366"/>
      <c r="I50" s="366"/>
      <c r="J50" s="366"/>
      <c r="K50" s="367"/>
      <c r="L50" s="378" t="s">
        <v>915</v>
      </c>
      <c r="M50" s="369">
        <v>875.6</v>
      </c>
      <c r="N50" s="370">
        <f t="shared" si="3"/>
        <v>675.6</v>
      </c>
      <c r="O50" s="393"/>
      <c r="P50" s="393"/>
      <c r="Q50" s="393"/>
      <c r="R50" s="393"/>
      <c r="S50" s="393"/>
      <c r="T50" s="393"/>
      <c r="U50" s="372">
        <f t="shared" si="4"/>
        <v>0</v>
      </c>
      <c r="V50" s="393"/>
      <c r="W50" s="393"/>
      <c r="X50" s="394"/>
      <c r="Y50" s="394"/>
      <c r="Z50" s="379">
        <f t="shared" si="2"/>
        <v>875.6</v>
      </c>
      <c r="AA50" s="394"/>
      <c r="AB50" s="374">
        <v>328.3</v>
      </c>
      <c r="AC50" s="417" t="s">
        <v>916</v>
      </c>
      <c r="AD50" s="376">
        <f t="shared" si="0"/>
        <v>1203.9000000000001</v>
      </c>
      <c r="AE50" s="391"/>
      <c r="AF50" s="391"/>
      <c r="AG50" s="376">
        <f t="shared" si="1"/>
        <v>1203.9000000000001</v>
      </c>
      <c r="AH50" s="353"/>
      <c r="AI50" s="354"/>
      <c r="AJ50" s="354"/>
      <c r="AK50" s="354"/>
      <c r="AL50" s="354"/>
      <c r="AM50" s="354"/>
      <c r="AN50" s="354"/>
      <c r="AO50" s="354"/>
    </row>
    <row r="51" spans="1:41" s="10" customFormat="1" ht="24" customHeight="1" x14ac:dyDescent="0.25">
      <c r="A51" s="363" t="s">
        <v>136</v>
      </c>
      <c r="B51" s="364" t="s">
        <v>137</v>
      </c>
      <c r="C51" s="365">
        <v>9</v>
      </c>
      <c r="D51" s="365">
        <v>9</v>
      </c>
      <c r="E51" s="365"/>
      <c r="F51" s="365"/>
      <c r="G51" s="366"/>
      <c r="H51" s="366"/>
      <c r="I51" s="366"/>
      <c r="J51" s="366"/>
      <c r="K51" s="367"/>
      <c r="L51" s="368" t="s">
        <v>138</v>
      </c>
      <c r="M51" s="418">
        <v>30</v>
      </c>
      <c r="N51" s="370">
        <f t="shared" si="3"/>
        <v>21</v>
      </c>
      <c r="O51" s="371"/>
      <c r="P51" s="371"/>
      <c r="Q51" s="371"/>
      <c r="R51" s="371"/>
      <c r="S51" s="371"/>
      <c r="T51" s="371"/>
      <c r="U51" s="372">
        <f t="shared" si="4"/>
        <v>0</v>
      </c>
      <c r="V51" s="371"/>
      <c r="W51" s="371"/>
      <c r="X51" s="366"/>
      <c r="Y51" s="366"/>
      <c r="Z51" s="379">
        <f t="shared" si="2"/>
        <v>30</v>
      </c>
      <c r="AA51" s="366"/>
      <c r="AB51" s="374"/>
      <c r="AC51" s="375"/>
      <c r="AD51" s="376">
        <f t="shared" si="0"/>
        <v>30</v>
      </c>
      <c r="AE51" s="377"/>
      <c r="AF51" s="377"/>
      <c r="AG51" s="376">
        <f t="shared" si="1"/>
        <v>30</v>
      </c>
      <c r="AH51" s="353"/>
      <c r="AI51" s="354"/>
      <c r="AJ51" s="354"/>
      <c r="AK51" s="354"/>
      <c r="AL51" s="354"/>
      <c r="AM51" s="354"/>
      <c r="AN51" s="354"/>
      <c r="AO51" s="354"/>
    </row>
    <row r="52" spans="1:41" s="10" customFormat="1" ht="24" hidden="1" customHeight="1" x14ac:dyDescent="0.25">
      <c r="A52" s="363" t="s">
        <v>139</v>
      </c>
      <c r="B52" s="364" t="s">
        <v>140</v>
      </c>
      <c r="C52" s="365"/>
      <c r="D52" s="365"/>
      <c r="E52" s="365"/>
      <c r="F52" s="365"/>
      <c r="G52" s="366"/>
      <c r="H52" s="366"/>
      <c r="I52" s="366"/>
      <c r="J52" s="366"/>
      <c r="K52" s="367"/>
      <c r="L52" s="368"/>
      <c r="M52" s="369"/>
      <c r="N52" s="370">
        <f t="shared" si="3"/>
        <v>0</v>
      </c>
      <c r="O52" s="371"/>
      <c r="P52" s="371"/>
      <c r="Q52" s="371"/>
      <c r="R52" s="371"/>
      <c r="S52" s="371"/>
      <c r="T52" s="371"/>
      <c r="U52" s="372">
        <f t="shared" si="4"/>
        <v>0</v>
      </c>
      <c r="V52" s="371"/>
      <c r="W52" s="371"/>
      <c r="X52" s="366"/>
      <c r="Y52" s="366"/>
      <c r="Z52" s="379">
        <f t="shared" si="2"/>
        <v>0</v>
      </c>
      <c r="AA52" s="366"/>
      <c r="AB52" s="374"/>
      <c r="AC52" s="375"/>
      <c r="AD52" s="376">
        <f t="shared" si="0"/>
        <v>0</v>
      </c>
      <c r="AE52" s="377"/>
      <c r="AF52" s="377"/>
      <c r="AG52" s="376">
        <f t="shared" si="1"/>
        <v>0</v>
      </c>
      <c r="AH52" s="353"/>
      <c r="AI52" s="354"/>
      <c r="AJ52" s="354"/>
      <c r="AK52" s="354"/>
      <c r="AL52" s="354"/>
      <c r="AM52" s="354"/>
      <c r="AN52" s="354"/>
      <c r="AO52" s="354"/>
    </row>
    <row r="53" spans="1:41" s="10" customFormat="1" ht="24" customHeight="1" x14ac:dyDescent="0.25">
      <c r="A53" s="363" t="s">
        <v>141</v>
      </c>
      <c r="B53" s="364" t="s">
        <v>142</v>
      </c>
      <c r="C53" s="365">
        <v>0</v>
      </c>
      <c r="D53" s="365">
        <v>0</v>
      </c>
      <c r="E53" s="365"/>
      <c r="F53" s="365"/>
      <c r="G53" s="366"/>
      <c r="H53" s="366"/>
      <c r="I53" s="366"/>
      <c r="J53" s="366"/>
      <c r="K53" s="367"/>
      <c r="L53" s="368"/>
      <c r="M53" s="369">
        <v>20</v>
      </c>
      <c r="N53" s="370">
        <f t="shared" si="3"/>
        <v>20</v>
      </c>
      <c r="O53" s="371"/>
      <c r="P53" s="371"/>
      <c r="Q53" s="371"/>
      <c r="R53" s="371"/>
      <c r="S53" s="371"/>
      <c r="T53" s="371"/>
      <c r="U53" s="372">
        <f t="shared" si="4"/>
        <v>0</v>
      </c>
      <c r="V53" s="371"/>
      <c r="W53" s="371"/>
      <c r="X53" s="366"/>
      <c r="Y53" s="366"/>
      <c r="Z53" s="379">
        <f t="shared" si="2"/>
        <v>20</v>
      </c>
      <c r="AA53" s="366"/>
      <c r="AB53" s="374"/>
      <c r="AC53" s="375"/>
      <c r="AD53" s="376">
        <f t="shared" si="0"/>
        <v>20</v>
      </c>
      <c r="AE53" s="377"/>
      <c r="AF53" s="377"/>
      <c r="AG53" s="376">
        <f t="shared" si="1"/>
        <v>20</v>
      </c>
      <c r="AH53" s="353"/>
      <c r="AI53" s="354"/>
      <c r="AJ53" s="354"/>
      <c r="AK53" s="354"/>
      <c r="AL53" s="354"/>
      <c r="AM53" s="354"/>
      <c r="AN53" s="354"/>
      <c r="AO53" s="354"/>
    </row>
    <row r="54" spans="1:41" s="10" customFormat="1" ht="24" customHeight="1" x14ac:dyDescent="0.25">
      <c r="A54" s="363" t="s">
        <v>143</v>
      </c>
      <c r="B54" s="364" t="s">
        <v>144</v>
      </c>
      <c r="C54" s="365">
        <v>713.2</v>
      </c>
      <c r="D54" s="365">
        <v>210.2</v>
      </c>
      <c r="E54" s="365"/>
      <c r="F54" s="365"/>
      <c r="G54" s="366"/>
      <c r="H54" s="366"/>
      <c r="I54" s="366"/>
      <c r="J54" s="366"/>
      <c r="K54" s="367"/>
      <c r="L54" s="368" t="s">
        <v>35</v>
      </c>
      <c r="M54" s="369">
        <f>240.7-0.5-2.8</f>
        <v>237.39999999999998</v>
      </c>
      <c r="N54" s="370">
        <f t="shared" si="3"/>
        <v>27.199999999999989</v>
      </c>
      <c r="O54" s="371"/>
      <c r="P54" s="371"/>
      <c r="Q54" s="371"/>
      <c r="R54" s="371"/>
      <c r="S54" s="371"/>
      <c r="T54" s="371">
        <v>289.5</v>
      </c>
      <c r="U54" s="372">
        <f t="shared" si="4"/>
        <v>289.5</v>
      </c>
      <c r="V54" s="371"/>
      <c r="W54" s="371"/>
      <c r="X54" s="366"/>
      <c r="Y54" s="366"/>
      <c r="Z54" s="379">
        <f t="shared" si="2"/>
        <v>526.9</v>
      </c>
      <c r="AA54" s="366"/>
      <c r="AB54" s="374">
        <f>100+0.5+2.8</f>
        <v>103.3</v>
      </c>
      <c r="AC54" s="419" t="s">
        <v>145</v>
      </c>
      <c r="AD54" s="376">
        <f t="shared" si="0"/>
        <v>630.19999999999993</v>
      </c>
      <c r="AE54" s="377"/>
      <c r="AF54" s="377"/>
      <c r="AG54" s="376">
        <f t="shared" si="1"/>
        <v>630.19999999999993</v>
      </c>
      <c r="AH54" s="353"/>
      <c r="AI54" s="354"/>
      <c r="AJ54" s="354"/>
      <c r="AK54" s="354"/>
      <c r="AL54" s="354"/>
      <c r="AM54" s="354"/>
      <c r="AN54" s="354"/>
      <c r="AO54" s="354"/>
    </row>
    <row r="55" spans="1:41" s="10" customFormat="1" ht="24" customHeight="1" x14ac:dyDescent="0.25">
      <c r="A55" s="363" t="s">
        <v>146</v>
      </c>
      <c r="B55" s="364" t="s">
        <v>147</v>
      </c>
      <c r="C55" s="365">
        <v>1589.7</v>
      </c>
      <c r="D55" s="365">
        <v>499.3</v>
      </c>
      <c r="E55" s="365"/>
      <c r="F55" s="365"/>
      <c r="G55" s="366"/>
      <c r="H55" s="366"/>
      <c r="I55" s="366"/>
      <c r="J55" s="366"/>
      <c r="K55" s="367"/>
      <c r="L55" s="368" t="s">
        <v>35</v>
      </c>
      <c r="M55" s="369">
        <v>20</v>
      </c>
      <c r="N55" s="370">
        <f t="shared" si="3"/>
        <v>-479.3</v>
      </c>
      <c r="O55" s="371"/>
      <c r="P55" s="371"/>
      <c r="Q55" s="371"/>
      <c r="R55" s="371"/>
      <c r="S55" s="371"/>
      <c r="T55" s="371"/>
      <c r="U55" s="372">
        <f t="shared" si="4"/>
        <v>0</v>
      </c>
      <c r="V55" s="371"/>
      <c r="W55" s="371"/>
      <c r="X55" s="366"/>
      <c r="Y55" s="366"/>
      <c r="Z55" s="379">
        <f t="shared" si="2"/>
        <v>20</v>
      </c>
      <c r="AA55" s="366"/>
      <c r="AB55" s="374"/>
      <c r="AC55" s="375"/>
      <c r="AD55" s="376">
        <f t="shared" si="0"/>
        <v>20</v>
      </c>
      <c r="AE55" s="377"/>
      <c r="AF55" s="377"/>
      <c r="AG55" s="376">
        <f t="shared" si="1"/>
        <v>20</v>
      </c>
      <c r="AH55" s="353"/>
      <c r="AI55" s="354"/>
      <c r="AJ55" s="354"/>
      <c r="AK55" s="354"/>
      <c r="AL55" s="354"/>
      <c r="AM55" s="354"/>
      <c r="AN55" s="354"/>
      <c r="AO55" s="354"/>
    </row>
    <row r="56" spans="1:41" s="10" customFormat="1" ht="24" customHeight="1" x14ac:dyDescent="0.25">
      <c r="A56" s="363" t="s">
        <v>148</v>
      </c>
      <c r="B56" s="420" t="s">
        <v>149</v>
      </c>
      <c r="C56" s="365">
        <v>55.4</v>
      </c>
      <c r="D56" s="365">
        <v>55.4</v>
      </c>
      <c r="E56" s="365"/>
      <c r="F56" s="365"/>
      <c r="G56" s="366"/>
      <c r="H56" s="366"/>
      <c r="I56" s="366"/>
      <c r="J56" s="366"/>
      <c r="K56" s="367"/>
      <c r="L56" s="368" t="s">
        <v>35</v>
      </c>
      <c r="M56" s="369">
        <v>20</v>
      </c>
      <c r="N56" s="370">
        <f t="shared" si="3"/>
        <v>-35.4</v>
      </c>
      <c r="O56" s="371"/>
      <c r="P56" s="371"/>
      <c r="Q56" s="371"/>
      <c r="R56" s="371"/>
      <c r="S56" s="371"/>
      <c r="T56" s="371"/>
      <c r="U56" s="372">
        <f>Q56+R56+S56+T56</f>
        <v>0</v>
      </c>
      <c r="V56" s="371"/>
      <c r="W56" s="371"/>
      <c r="X56" s="366"/>
      <c r="Y56" s="366"/>
      <c r="Z56" s="379">
        <f t="shared" si="2"/>
        <v>20</v>
      </c>
      <c r="AA56" s="366"/>
      <c r="AB56" s="374"/>
      <c r="AC56" s="375"/>
      <c r="AD56" s="376">
        <f t="shared" si="0"/>
        <v>20</v>
      </c>
      <c r="AE56" s="377"/>
      <c r="AF56" s="377"/>
      <c r="AG56" s="376">
        <f t="shared" si="1"/>
        <v>20</v>
      </c>
      <c r="AH56" s="353"/>
      <c r="AI56" s="354"/>
      <c r="AJ56" s="354"/>
      <c r="AK56" s="354"/>
      <c r="AL56" s="354"/>
      <c r="AM56" s="354"/>
      <c r="AN56" s="354"/>
      <c r="AO56" s="354"/>
    </row>
    <row r="57" spans="1:41" s="10" customFormat="1" ht="24" customHeight="1" x14ac:dyDescent="0.25">
      <c r="A57" s="363" t="s">
        <v>150</v>
      </c>
      <c r="B57" s="420" t="s">
        <v>151</v>
      </c>
      <c r="C57" s="365">
        <v>0</v>
      </c>
      <c r="D57" s="365">
        <v>0</v>
      </c>
      <c r="E57" s="365"/>
      <c r="F57" s="365"/>
      <c r="G57" s="366"/>
      <c r="H57" s="366"/>
      <c r="I57" s="366"/>
      <c r="J57" s="366"/>
      <c r="K57" s="367"/>
      <c r="L57" s="368"/>
      <c r="M57" s="369">
        <f>110.6-0.7-4.3</f>
        <v>105.6</v>
      </c>
      <c r="N57" s="370">
        <f t="shared" si="3"/>
        <v>105.6</v>
      </c>
      <c r="O57" s="371"/>
      <c r="P57" s="371"/>
      <c r="Q57" s="371"/>
      <c r="R57" s="371"/>
      <c r="S57" s="371"/>
      <c r="T57" s="371">
        <v>75.900000000000006</v>
      </c>
      <c r="U57" s="372">
        <f>Q57+R57+S57+T57</f>
        <v>75.900000000000006</v>
      </c>
      <c r="V57" s="371"/>
      <c r="W57" s="371"/>
      <c r="X57" s="366"/>
      <c r="Y57" s="366"/>
      <c r="Z57" s="379">
        <f t="shared" si="2"/>
        <v>181.5</v>
      </c>
      <c r="AA57" s="366"/>
      <c r="AB57" s="374">
        <f>123.1+0.7+4.3</f>
        <v>128.1</v>
      </c>
      <c r="AC57" s="419" t="s">
        <v>152</v>
      </c>
      <c r="AD57" s="376">
        <f t="shared" si="0"/>
        <v>309.60000000000002</v>
      </c>
      <c r="AE57" s="377"/>
      <c r="AF57" s="377"/>
      <c r="AG57" s="376">
        <f t="shared" si="1"/>
        <v>309.60000000000002</v>
      </c>
      <c r="AH57" s="353"/>
      <c r="AI57" s="354"/>
      <c r="AJ57" s="354"/>
      <c r="AK57" s="354"/>
      <c r="AL57" s="354"/>
      <c r="AM57" s="354"/>
      <c r="AN57" s="354"/>
      <c r="AO57" s="354"/>
    </row>
    <row r="58" spans="1:41" s="10" customFormat="1" ht="24" customHeight="1" x14ac:dyDescent="0.25">
      <c r="A58" s="363" t="s">
        <v>153</v>
      </c>
      <c r="B58" s="420" t="s">
        <v>154</v>
      </c>
      <c r="C58" s="365">
        <v>0</v>
      </c>
      <c r="D58" s="365">
        <v>0</v>
      </c>
      <c r="E58" s="365"/>
      <c r="F58" s="365"/>
      <c r="G58" s="366"/>
      <c r="H58" s="366"/>
      <c r="I58" s="366"/>
      <c r="J58" s="366"/>
      <c r="K58" s="367"/>
      <c r="L58" s="368"/>
      <c r="M58" s="369">
        <f>4.6-0.3</f>
        <v>4.3</v>
      </c>
      <c r="N58" s="370">
        <f t="shared" si="3"/>
        <v>4.3</v>
      </c>
      <c r="O58" s="371"/>
      <c r="P58" s="371"/>
      <c r="Q58" s="371"/>
      <c r="R58" s="371"/>
      <c r="S58" s="371"/>
      <c r="T58" s="371">
        <v>587.29999999999995</v>
      </c>
      <c r="U58" s="372">
        <f>Q58+R58+S58+T58</f>
        <v>587.29999999999995</v>
      </c>
      <c r="V58" s="371"/>
      <c r="W58" s="371"/>
      <c r="X58" s="366"/>
      <c r="Y58" s="366"/>
      <c r="Z58" s="379">
        <f t="shared" si="2"/>
        <v>591.59999999999991</v>
      </c>
      <c r="AA58" s="366"/>
      <c r="AB58" s="374">
        <v>0.3</v>
      </c>
      <c r="AC58" s="375" t="s">
        <v>155</v>
      </c>
      <c r="AD58" s="376">
        <f t="shared" si="0"/>
        <v>591.89999999999986</v>
      </c>
      <c r="AE58" s="377"/>
      <c r="AF58" s="377"/>
      <c r="AG58" s="376">
        <f t="shared" si="1"/>
        <v>591.89999999999986</v>
      </c>
      <c r="AH58" s="353"/>
      <c r="AI58" s="354"/>
      <c r="AJ58" s="354"/>
      <c r="AK58" s="354"/>
      <c r="AL58" s="354"/>
      <c r="AM58" s="354"/>
      <c r="AN58" s="354"/>
      <c r="AO58" s="354"/>
    </row>
    <row r="59" spans="1:41" s="10" customFormat="1" ht="24" customHeight="1" x14ac:dyDescent="0.25">
      <c r="A59" s="359" t="s">
        <v>156</v>
      </c>
      <c r="B59" s="360" t="s">
        <v>157</v>
      </c>
      <c r="C59" s="361">
        <f>C60+C61+C62+C63+C64+C65+C66+C67+C68+C69+C70+C71+C72+C73+C74+C75+C76+C77+C78+C79+C80+C81+C82</f>
        <v>2044.8999999999999</v>
      </c>
      <c r="D59" s="361">
        <f t="shared" ref="D59:K59" si="13">D60+D61+D62+D63+D64+D65+D66+D67+D68+D69+D70+D71+D72+D73+D74+D75+D76+D77+D78+D79+D80+D81+D82</f>
        <v>923.9</v>
      </c>
      <c r="E59" s="361">
        <f t="shared" si="13"/>
        <v>0</v>
      </c>
      <c r="F59" s="361">
        <f t="shared" si="13"/>
        <v>1095.9999999999998</v>
      </c>
      <c r="G59" s="361">
        <f t="shared" si="13"/>
        <v>0</v>
      </c>
      <c r="H59" s="361">
        <f t="shared" si="13"/>
        <v>0</v>
      </c>
      <c r="I59" s="361">
        <f t="shared" si="13"/>
        <v>0</v>
      </c>
      <c r="J59" s="361">
        <f t="shared" si="13"/>
        <v>0</v>
      </c>
      <c r="K59" s="361">
        <f t="shared" si="13"/>
        <v>0</v>
      </c>
      <c r="L59" s="383"/>
      <c r="M59" s="401">
        <f>M60+M61+M62+M63+M64+M65+M66+M67+M68+M69+M70+M71+M72+M73+M74+M75+M76+M77+M78+M79+M80+M81+M82+M84+M85+M86</f>
        <v>2725.4</v>
      </c>
      <c r="N59" s="370">
        <f>M59-D59</f>
        <v>1801.5</v>
      </c>
      <c r="O59" s="384">
        <f>O60+O61+O62+O63+O64+O65+O66+O67+O68+O69+O70+O71+O72+O73+O74+O75+O76+O77+O78+O79+O80+O81+O82+O84+O85+O86+O83</f>
        <v>20</v>
      </c>
      <c r="P59" s="384">
        <f t="shared" ref="P59:T59" si="14">P60+P61+P62+P63+P64+P65+P66+P67+P68+P69+P70+P71+P72+P73+P74+P75+P76+P77+P78+P79+P80+P81+P82+P84+P85+P86</f>
        <v>0</v>
      </c>
      <c r="Q59" s="384">
        <f t="shared" si="14"/>
        <v>0</v>
      </c>
      <c r="R59" s="384">
        <f t="shared" si="14"/>
        <v>20</v>
      </c>
      <c r="S59" s="384">
        <f t="shared" si="14"/>
        <v>0</v>
      </c>
      <c r="T59" s="384">
        <f t="shared" si="14"/>
        <v>2465.8000000000002</v>
      </c>
      <c r="U59" s="372">
        <f>Q59+R59+S59+T59</f>
        <v>2485.8000000000002</v>
      </c>
      <c r="V59" s="384">
        <f>V60+V61+V62+V63+V64+V65+V66+V67+V68+V69+V70+V71+V72+V73+V74+V75+V76+V77+V78+V79+V80+V81+V82+V84+V85+V86</f>
        <v>0</v>
      </c>
      <c r="W59" s="384">
        <f>W60+W61+W62+W63+W64+W65+W66+W67+W68+W69+W70+W71+W72+W73+W74+W75+W76+W77+W78+W79+W80+W81+W82+W84+W85+W86</f>
        <v>1070</v>
      </c>
      <c r="X59" s="361">
        <f t="shared" ref="X59:AA59" si="15">X60+X61+X62+X63+X64+X65+X66+X67+X68+X69+X70+X71+X72+X73+X74+X75+X76+X77+X78+X79+X80+X81+X82</f>
        <v>0</v>
      </c>
      <c r="Y59" s="361">
        <f t="shared" si="15"/>
        <v>0</v>
      </c>
      <c r="Z59" s="403">
        <f>M59+O59+U59+V59+W59+X59</f>
        <v>6301.2000000000007</v>
      </c>
      <c r="AA59" s="361">
        <f t="shared" si="15"/>
        <v>0</v>
      </c>
      <c r="AB59" s="385">
        <f>AB60+AB61+AB62+AB63+AB64+AB65+AB66+AB67+AB68+AB69+AB70+AB71+AB72+AB73+AB74+AB75+AB76+AB77+AB78+AB79+AB80+AB81+AB82+AB84</f>
        <v>1238.0999999999999</v>
      </c>
      <c r="AC59" s="386"/>
      <c r="AD59" s="376">
        <f t="shared" si="0"/>
        <v>7539.3000000000011</v>
      </c>
      <c r="AE59" s="387">
        <f>AE60+AE61+AE62+AE63+AE64+AE65+AE66+AE67+AE68+AE69+AE70+AE71+AE72+AE73+AE74+AE75+AE76+AE77+AE78+AE79+AE80+AE81+AE82+AE84</f>
        <v>0</v>
      </c>
      <c r="AF59" s="387"/>
      <c r="AG59" s="376">
        <f t="shared" si="1"/>
        <v>7539.3000000000011</v>
      </c>
      <c r="AH59" s="353"/>
      <c r="AI59" s="354"/>
      <c r="AJ59" s="354"/>
      <c r="AK59" s="354"/>
      <c r="AL59" s="354"/>
      <c r="AM59" s="354"/>
      <c r="AN59" s="354"/>
      <c r="AO59" s="354"/>
    </row>
    <row r="60" spans="1:41" s="10" customFormat="1" ht="24" customHeight="1" x14ac:dyDescent="0.25">
      <c r="A60" s="363" t="s">
        <v>158</v>
      </c>
      <c r="B60" s="364" t="s">
        <v>159</v>
      </c>
      <c r="C60" s="365">
        <v>918.7</v>
      </c>
      <c r="D60" s="365">
        <v>0</v>
      </c>
      <c r="E60" s="365"/>
      <c r="F60" s="365">
        <v>901</v>
      </c>
      <c r="G60" s="366"/>
      <c r="H60" s="366"/>
      <c r="I60" s="366"/>
      <c r="J60" s="366"/>
      <c r="K60" s="367"/>
      <c r="L60" s="368" t="s">
        <v>160</v>
      </c>
      <c r="M60" s="401">
        <v>27</v>
      </c>
      <c r="N60" s="370">
        <f t="shared" si="3"/>
        <v>27</v>
      </c>
      <c r="O60" s="371"/>
      <c r="P60" s="371"/>
      <c r="Q60" s="371"/>
      <c r="R60" s="421">
        <v>20</v>
      </c>
      <c r="S60" s="371"/>
      <c r="T60" s="371"/>
      <c r="U60" s="372">
        <f t="shared" si="4"/>
        <v>20</v>
      </c>
      <c r="V60" s="371"/>
      <c r="W60" s="371">
        <v>1040</v>
      </c>
      <c r="X60" s="366"/>
      <c r="Y60" s="366"/>
      <c r="Z60" s="379">
        <f t="shared" si="2"/>
        <v>1087</v>
      </c>
      <c r="AA60" s="366"/>
      <c r="AB60" s="374"/>
      <c r="AC60" s="375"/>
      <c r="AD60" s="376">
        <f t="shared" si="0"/>
        <v>1087</v>
      </c>
      <c r="AE60" s="422"/>
      <c r="AF60" s="422"/>
      <c r="AG60" s="376">
        <f t="shared" si="1"/>
        <v>1087</v>
      </c>
      <c r="AH60" s="353"/>
      <c r="AI60" s="354"/>
      <c r="AJ60" s="354"/>
      <c r="AK60" s="354"/>
      <c r="AL60" s="354"/>
      <c r="AM60" s="354"/>
      <c r="AN60" s="354"/>
      <c r="AO60" s="354"/>
    </row>
    <row r="61" spans="1:41" s="10" customFormat="1" ht="24" customHeight="1" x14ac:dyDescent="0.25">
      <c r="A61" s="363" t="s">
        <v>161</v>
      </c>
      <c r="B61" s="364" t="s">
        <v>162</v>
      </c>
      <c r="C61" s="365">
        <v>75</v>
      </c>
      <c r="D61" s="365">
        <v>45</v>
      </c>
      <c r="E61" s="365"/>
      <c r="F61" s="365">
        <v>30</v>
      </c>
      <c r="G61" s="366"/>
      <c r="H61" s="366"/>
      <c r="I61" s="366"/>
      <c r="J61" s="366"/>
      <c r="K61" s="367"/>
      <c r="L61" s="368" t="s">
        <v>163</v>
      </c>
      <c r="M61" s="371">
        <v>90</v>
      </c>
      <c r="N61" s="370">
        <f t="shared" si="3"/>
        <v>45</v>
      </c>
      <c r="O61" s="393"/>
      <c r="P61" s="393"/>
      <c r="Q61" s="393"/>
      <c r="R61" s="393"/>
      <c r="S61" s="393"/>
      <c r="T61" s="393"/>
      <c r="U61" s="372">
        <f t="shared" si="4"/>
        <v>0</v>
      </c>
      <c r="V61" s="393"/>
      <c r="W61" s="371">
        <v>30</v>
      </c>
      <c r="X61" s="394"/>
      <c r="Y61" s="394"/>
      <c r="Z61" s="379">
        <f t="shared" si="2"/>
        <v>120</v>
      </c>
      <c r="AA61" s="394"/>
      <c r="AB61" s="374">
        <v>40</v>
      </c>
      <c r="AC61" s="375"/>
      <c r="AD61" s="376">
        <f t="shared" si="0"/>
        <v>160</v>
      </c>
      <c r="AE61" s="391"/>
      <c r="AF61" s="391"/>
      <c r="AG61" s="376">
        <f t="shared" si="1"/>
        <v>160</v>
      </c>
      <c r="AH61" s="353"/>
      <c r="AI61" s="354"/>
      <c r="AJ61" s="354"/>
      <c r="AK61" s="354"/>
      <c r="AL61" s="354"/>
      <c r="AM61" s="354"/>
      <c r="AN61" s="354"/>
      <c r="AO61" s="354"/>
    </row>
    <row r="62" spans="1:41" s="10" customFormat="1" ht="24" hidden="1" customHeight="1" x14ac:dyDescent="0.25">
      <c r="A62" s="363" t="s">
        <v>164</v>
      </c>
      <c r="B62" s="364" t="s">
        <v>165</v>
      </c>
      <c r="C62" s="365"/>
      <c r="D62" s="365"/>
      <c r="E62" s="365"/>
      <c r="F62" s="365"/>
      <c r="G62" s="366"/>
      <c r="H62" s="366"/>
      <c r="I62" s="366"/>
      <c r="J62" s="366"/>
      <c r="K62" s="367"/>
      <c r="L62" s="368"/>
      <c r="M62" s="369"/>
      <c r="N62" s="370">
        <f t="shared" si="3"/>
        <v>0</v>
      </c>
      <c r="O62" s="371"/>
      <c r="P62" s="371"/>
      <c r="Q62" s="371"/>
      <c r="R62" s="371"/>
      <c r="S62" s="371"/>
      <c r="T62" s="371"/>
      <c r="U62" s="372">
        <f t="shared" si="4"/>
        <v>0</v>
      </c>
      <c r="V62" s="371"/>
      <c r="W62" s="371"/>
      <c r="X62" s="366"/>
      <c r="Y62" s="366"/>
      <c r="Z62" s="379">
        <f t="shared" si="2"/>
        <v>0</v>
      </c>
      <c r="AA62" s="366"/>
      <c r="AB62" s="374"/>
      <c r="AC62" s="375"/>
      <c r="AD62" s="376">
        <f t="shared" si="0"/>
        <v>0</v>
      </c>
      <c r="AE62" s="377"/>
      <c r="AF62" s="377"/>
      <c r="AG62" s="376">
        <f t="shared" si="1"/>
        <v>0</v>
      </c>
      <c r="AH62" s="353"/>
      <c r="AI62" s="354"/>
      <c r="AJ62" s="354"/>
      <c r="AK62" s="354"/>
      <c r="AL62" s="354"/>
      <c r="AM62" s="354"/>
      <c r="AN62" s="354"/>
      <c r="AO62" s="354"/>
    </row>
    <row r="63" spans="1:41" s="10" customFormat="1" ht="24" customHeight="1" x14ac:dyDescent="0.25">
      <c r="A63" s="363" t="s">
        <v>166</v>
      </c>
      <c r="B63" s="364" t="s">
        <v>167</v>
      </c>
      <c r="C63" s="365">
        <v>250</v>
      </c>
      <c r="D63" s="365">
        <v>250</v>
      </c>
      <c r="E63" s="365"/>
      <c r="F63" s="365"/>
      <c r="G63" s="366"/>
      <c r="H63" s="366"/>
      <c r="I63" s="366"/>
      <c r="J63" s="366"/>
      <c r="K63" s="367"/>
      <c r="L63" s="378" t="s">
        <v>917</v>
      </c>
      <c r="M63" s="369">
        <v>100</v>
      </c>
      <c r="N63" s="370">
        <f t="shared" si="3"/>
        <v>-150</v>
      </c>
      <c r="O63" s="393"/>
      <c r="P63" s="393"/>
      <c r="Q63" s="393"/>
      <c r="R63" s="393"/>
      <c r="S63" s="393"/>
      <c r="T63" s="393"/>
      <c r="U63" s="372">
        <f t="shared" si="4"/>
        <v>0</v>
      </c>
      <c r="V63" s="393"/>
      <c r="W63" s="393"/>
      <c r="X63" s="394"/>
      <c r="Y63" s="394"/>
      <c r="Z63" s="379">
        <f t="shared" si="2"/>
        <v>100</v>
      </c>
      <c r="AA63" s="394"/>
      <c r="AB63" s="374">
        <v>50</v>
      </c>
      <c r="AC63" s="423" t="s">
        <v>918</v>
      </c>
      <c r="AD63" s="376">
        <f t="shared" si="0"/>
        <v>150</v>
      </c>
      <c r="AE63" s="391"/>
      <c r="AF63" s="391"/>
      <c r="AG63" s="376">
        <f t="shared" si="1"/>
        <v>150</v>
      </c>
      <c r="AH63" s="353"/>
      <c r="AI63" s="354"/>
      <c r="AJ63" s="354"/>
      <c r="AK63" s="354"/>
      <c r="AL63" s="354"/>
      <c r="AM63" s="354"/>
      <c r="AN63" s="354"/>
      <c r="AO63" s="354"/>
    </row>
    <row r="64" spans="1:41" s="10" customFormat="1" ht="24" hidden="1" customHeight="1" x14ac:dyDescent="0.25">
      <c r="A64" s="363" t="s">
        <v>168</v>
      </c>
      <c r="B64" s="364" t="s">
        <v>169</v>
      </c>
      <c r="C64" s="365">
        <v>50.3</v>
      </c>
      <c r="D64" s="365"/>
      <c r="E64" s="365"/>
      <c r="F64" s="365">
        <v>50.3</v>
      </c>
      <c r="G64" s="366"/>
      <c r="H64" s="366"/>
      <c r="I64" s="366"/>
      <c r="J64" s="366"/>
      <c r="K64" s="367"/>
      <c r="L64" s="368"/>
      <c r="M64" s="369"/>
      <c r="N64" s="370">
        <f t="shared" si="3"/>
        <v>0</v>
      </c>
      <c r="O64" s="371"/>
      <c r="P64" s="371"/>
      <c r="Q64" s="371"/>
      <c r="R64" s="371"/>
      <c r="S64" s="371"/>
      <c r="T64" s="371"/>
      <c r="U64" s="372">
        <f t="shared" si="4"/>
        <v>0</v>
      </c>
      <c r="V64" s="371"/>
      <c r="W64" s="371"/>
      <c r="X64" s="366"/>
      <c r="Y64" s="366"/>
      <c r="Z64" s="379">
        <f t="shared" si="2"/>
        <v>0</v>
      </c>
      <c r="AA64" s="366"/>
      <c r="AB64" s="374"/>
      <c r="AC64" s="375"/>
      <c r="AD64" s="376">
        <f t="shared" si="0"/>
        <v>0</v>
      </c>
      <c r="AE64" s="377"/>
      <c r="AF64" s="377"/>
      <c r="AG64" s="376">
        <f t="shared" si="1"/>
        <v>0</v>
      </c>
      <c r="AH64" s="353"/>
      <c r="AI64" s="354"/>
      <c r="AJ64" s="354"/>
      <c r="AK64" s="354"/>
      <c r="AL64" s="354"/>
      <c r="AM64" s="354"/>
      <c r="AN64" s="354"/>
      <c r="AO64" s="354"/>
    </row>
    <row r="65" spans="1:41" s="10" customFormat="1" ht="24" hidden="1" customHeight="1" x14ac:dyDescent="0.25">
      <c r="A65" s="363" t="s">
        <v>170</v>
      </c>
      <c r="B65" s="364" t="s">
        <v>171</v>
      </c>
      <c r="C65" s="365"/>
      <c r="D65" s="365"/>
      <c r="E65" s="365"/>
      <c r="F65" s="365"/>
      <c r="G65" s="366"/>
      <c r="H65" s="366"/>
      <c r="I65" s="366"/>
      <c r="J65" s="366"/>
      <c r="K65" s="367"/>
      <c r="L65" s="368"/>
      <c r="M65" s="369"/>
      <c r="N65" s="370">
        <f t="shared" si="3"/>
        <v>0</v>
      </c>
      <c r="O65" s="371"/>
      <c r="P65" s="371"/>
      <c r="Q65" s="371"/>
      <c r="R65" s="371"/>
      <c r="S65" s="371"/>
      <c r="T65" s="371"/>
      <c r="U65" s="372">
        <f t="shared" si="4"/>
        <v>0</v>
      </c>
      <c r="V65" s="371"/>
      <c r="W65" s="371"/>
      <c r="X65" s="366"/>
      <c r="Y65" s="366"/>
      <c r="Z65" s="379">
        <f t="shared" si="2"/>
        <v>0</v>
      </c>
      <c r="AA65" s="366"/>
      <c r="AB65" s="374"/>
      <c r="AC65" s="375"/>
      <c r="AD65" s="376">
        <f t="shared" si="0"/>
        <v>0</v>
      </c>
      <c r="AE65" s="377"/>
      <c r="AF65" s="377"/>
      <c r="AG65" s="376">
        <f t="shared" si="1"/>
        <v>0</v>
      </c>
      <c r="AH65" s="353"/>
      <c r="AI65" s="354"/>
      <c r="AJ65" s="354"/>
      <c r="AK65" s="354"/>
      <c r="AL65" s="354"/>
      <c r="AM65" s="354"/>
      <c r="AN65" s="354"/>
      <c r="AO65" s="354"/>
    </row>
    <row r="66" spans="1:41" s="10" customFormat="1" ht="24" hidden="1" customHeight="1" x14ac:dyDescent="0.25">
      <c r="A66" s="363" t="s">
        <v>172</v>
      </c>
      <c r="B66" s="364" t="s">
        <v>173</v>
      </c>
      <c r="C66" s="365">
        <v>0</v>
      </c>
      <c r="D66" s="365"/>
      <c r="E66" s="365"/>
      <c r="F66" s="365"/>
      <c r="G66" s="366"/>
      <c r="H66" s="366"/>
      <c r="I66" s="366"/>
      <c r="J66" s="366"/>
      <c r="K66" s="367"/>
      <c r="L66" s="368"/>
      <c r="M66" s="369"/>
      <c r="N66" s="370">
        <f t="shared" si="3"/>
        <v>0</v>
      </c>
      <c r="O66" s="371"/>
      <c r="P66" s="371"/>
      <c r="Q66" s="371"/>
      <c r="R66" s="371"/>
      <c r="S66" s="371"/>
      <c r="T66" s="371"/>
      <c r="U66" s="372">
        <f t="shared" si="4"/>
        <v>0</v>
      </c>
      <c r="V66" s="371"/>
      <c r="W66" s="371"/>
      <c r="X66" s="366"/>
      <c r="Y66" s="366"/>
      <c r="Z66" s="379">
        <f t="shared" si="2"/>
        <v>0</v>
      </c>
      <c r="AA66" s="366"/>
      <c r="AB66" s="374"/>
      <c r="AC66" s="375"/>
      <c r="AD66" s="376">
        <f t="shared" si="0"/>
        <v>0</v>
      </c>
      <c r="AE66" s="377"/>
      <c r="AF66" s="377"/>
      <c r="AG66" s="376">
        <f t="shared" si="1"/>
        <v>0</v>
      </c>
      <c r="AH66" s="353"/>
      <c r="AI66" s="354"/>
      <c r="AJ66" s="354"/>
      <c r="AK66" s="354"/>
      <c r="AL66" s="354"/>
      <c r="AM66" s="354"/>
      <c r="AN66" s="354"/>
      <c r="AO66" s="354"/>
    </row>
    <row r="67" spans="1:41" s="10" customFormat="1" ht="24" hidden="1" customHeight="1" x14ac:dyDescent="0.25">
      <c r="A67" s="363" t="s">
        <v>174</v>
      </c>
      <c r="B67" s="364" t="s">
        <v>175</v>
      </c>
      <c r="C67" s="365">
        <v>4.0999999999999996</v>
      </c>
      <c r="D67" s="365"/>
      <c r="E67" s="365"/>
      <c r="F67" s="365">
        <v>3.3</v>
      </c>
      <c r="G67" s="366"/>
      <c r="H67" s="366"/>
      <c r="I67" s="366"/>
      <c r="J67" s="366"/>
      <c r="K67" s="367"/>
      <c r="L67" s="368"/>
      <c r="M67" s="369"/>
      <c r="N67" s="370">
        <f t="shared" si="3"/>
        <v>0</v>
      </c>
      <c r="O67" s="371"/>
      <c r="P67" s="371"/>
      <c r="Q67" s="371"/>
      <c r="R67" s="371"/>
      <c r="S67" s="371"/>
      <c r="T67" s="371"/>
      <c r="U67" s="372">
        <f t="shared" si="4"/>
        <v>0</v>
      </c>
      <c r="V67" s="371"/>
      <c r="W67" s="371"/>
      <c r="X67" s="366"/>
      <c r="Y67" s="366"/>
      <c r="Z67" s="379">
        <f t="shared" si="2"/>
        <v>0</v>
      </c>
      <c r="AA67" s="366"/>
      <c r="AB67" s="374"/>
      <c r="AC67" s="375"/>
      <c r="AD67" s="376">
        <f t="shared" si="0"/>
        <v>0</v>
      </c>
      <c r="AE67" s="377"/>
      <c r="AF67" s="377"/>
      <c r="AG67" s="376">
        <f t="shared" si="1"/>
        <v>0</v>
      </c>
      <c r="AH67" s="353"/>
      <c r="AI67" s="354"/>
      <c r="AJ67" s="354"/>
      <c r="AK67" s="354"/>
      <c r="AL67" s="354"/>
      <c r="AM67" s="354"/>
      <c r="AN67" s="354"/>
      <c r="AO67" s="354"/>
    </row>
    <row r="68" spans="1:41" s="10" customFormat="1" ht="24" hidden="1" customHeight="1" x14ac:dyDescent="0.25">
      <c r="A68" s="363" t="s">
        <v>176</v>
      </c>
      <c r="B68" s="364" t="s">
        <v>177</v>
      </c>
      <c r="C68" s="365">
        <v>0</v>
      </c>
      <c r="D68" s="365"/>
      <c r="E68" s="365"/>
      <c r="F68" s="365"/>
      <c r="G68" s="366"/>
      <c r="H68" s="366"/>
      <c r="I68" s="366"/>
      <c r="J68" s="366"/>
      <c r="K68" s="367"/>
      <c r="L68" s="368"/>
      <c r="M68" s="369">
        <v>0</v>
      </c>
      <c r="N68" s="370">
        <f t="shared" si="3"/>
        <v>0</v>
      </c>
      <c r="O68" s="371"/>
      <c r="P68" s="371"/>
      <c r="Q68" s="371"/>
      <c r="R68" s="371"/>
      <c r="S68" s="371"/>
      <c r="T68" s="371"/>
      <c r="U68" s="372">
        <f t="shared" si="4"/>
        <v>0</v>
      </c>
      <c r="V68" s="371"/>
      <c r="W68" s="371"/>
      <c r="X68" s="366"/>
      <c r="Y68" s="366"/>
      <c r="Z68" s="379">
        <f t="shared" si="2"/>
        <v>0</v>
      </c>
      <c r="AA68" s="366"/>
      <c r="AB68" s="374">
        <v>531.9</v>
      </c>
      <c r="AC68" s="380" t="s">
        <v>919</v>
      </c>
      <c r="AD68" s="376">
        <f t="shared" si="0"/>
        <v>531.9</v>
      </c>
      <c r="AE68" s="377"/>
      <c r="AF68" s="377"/>
      <c r="AG68" s="376">
        <f t="shared" si="1"/>
        <v>531.9</v>
      </c>
      <c r="AH68" s="353"/>
      <c r="AI68" s="354"/>
      <c r="AJ68" s="354"/>
      <c r="AK68" s="354"/>
      <c r="AL68" s="354"/>
      <c r="AM68" s="354"/>
      <c r="AN68" s="354"/>
      <c r="AO68" s="354"/>
    </row>
    <row r="69" spans="1:41" s="10" customFormat="1" ht="24" hidden="1" customHeight="1" x14ac:dyDescent="0.25">
      <c r="A69" s="363" t="s">
        <v>178</v>
      </c>
      <c r="B69" s="364" t="s">
        <v>179</v>
      </c>
      <c r="C69" s="365">
        <v>45</v>
      </c>
      <c r="D69" s="365"/>
      <c r="E69" s="365"/>
      <c r="F69" s="365">
        <v>45</v>
      </c>
      <c r="G69" s="366"/>
      <c r="H69" s="366"/>
      <c r="I69" s="366"/>
      <c r="J69" s="366"/>
      <c r="K69" s="367"/>
      <c r="L69" s="368"/>
      <c r="M69" s="369"/>
      <c r="N69" s="370">
        <f>M69-D69</f>
        <v>0</v>
      </c>
      <c r="O69" s="371"/>
      <c r="P69" s="371"/>
      <c r="Q69" s="371"/>
      <c r="R69" s="371"/>
      <c r="S69" s="371"/>
      <c r="T69" s="371"/>
      <c r="U69" s="372">
        <f t="shared" si="4"/>
        <v>0</v>
      </c>
      <c r="V69" s="371"/>
      <c r="W69" s="371"/>
      <c r="X69" s="366"/>
      <c r="Y69" s="366"/>
      <c r="Z69" s="379">
        <f t="shared" si="2"/>
        <v>0</v>
      </c>
      <c r="AA69" s="366"/>
      <c r="AB69" s="374"/>
      <c r="AC69" s="375"/>
      <c r="AD69" s="376">
        <f t="shared" si="0"/>
        <v>0</v>
      </c>
      <c r="AE69" s="377"/>
      <c r="AF69" s="377"/>
      <c r="AG69" s="376">
        <f t="shared" si="1"/>
        <v>0</v>
      </c>
      <c r="AH69" s="353"/>
      <c r="AI69" s="354"/>
      <c r="AJ69" s="354"/>
      <c r="AK69" s="354"/>
      <c r="AL69" s="354"/>
      <c r="AM69" s="354"/>
      <c r="AN69" s="354"/>
      <c r="AO69" s="354"/>
    </row>
    <row r="70" spans="1:41" s="10" customFormat="1" ht="24" hidden="1" customHeight="1" x14ac:dyDescent="0.25">
      <c r="A70" s="363" t="s">
        <v>180</v>
      </c>
      <c r="B70" s="364" t="s">
        <v>181</v>
      </c>
      <c r="C70" s="365">
        <v>8.3000000000000007</v>
      </c>
      <c r="D70" s="365"/>
      <c r="E70" s="365"/>
      <c r="F70" s="365">
        <v>8.3000000000000007</v>
      </c>
      <c r="G70" s="366"/>
      <c r="H70" s="366"/>
      <c r="I70" s="366"/>
      <c r="J70" s="366"/>
      <c r="K70" s="367"/>
      <c r="L70" s="424"/>
      <c r="M70" s="389"/>
      <c r="N70" s="370">
        <f t="shared" si="3"/>
        <v>0</v>
      </c>
      <c r="O70" s="371"/>
      <c r="P70" s="371"/>
      <c r="Q70" s="371"/>
      <c r="R70" s="371"/>
      <c r="S70" s="371"/>
      <c r="T70" s="371"/>
      <c r="U70" s="372">
        <f t="shared" si="4"/>
        <v>0</v>
      </c>
      <c r="V70" s="371"/>
      <c r="W70" s="371"/>
      <c r="X70" s="366"/>
      <c r="Y70" s="366"/>
      <c r="Z70" s="379">
        <f t="shared" si="2"/>
        <v>0</v>
      </c>
      <c r="AA70" s="366"/>
      <c r="AB70" s="374"/>
      <c r="AC70" s="375"/>
      <c r="AD70" s="376">
        <f t="shared" si="0"/>
        <v>0</v>
      </c>
      <c r="AE70" s="377"/>
      <c r="AF70" s="377"/>
      <c r="AG70" s="376">
        <f t="shared" si="1"/>
        <v>0</v>
      </c>
      <c r="AH70" s="353"/>
      <c r="AI70" s="354"/>
      <c r="AJ70" s="354"/>
      <c r="AK70" s="354"/>
      <c r="AL70" s="354"/>
      <c r="AM70" s="354"/>
      <c r="AN70" s="354"/>
      <c r="AO70" s="354"/>
    </row>
    <row r="71" spans="1:41" s="10" customFormat="1" ht="24" hidden="1" customHeight="1" x14ac:dyDescent="0.25">
      <c r="A71" s="363" t="s">
        <v>182</v>
      </c>
      <c r="B71" s="364" t="s">
        <v>183</v>
      </c>
      <c r="C71" s="365">
        <v>67.8</v>
      </c>
      <c r="D71" s="365">
        <v>20</v>
      </c>
      <c r="E71" s="365"/>
      <c r="F71" s="365">
        <v>41.3</v>
      </c>
      <c r="G71" s="366"/>
      <c r="H71" s="366"/>
      <c r="I71" s="366"/>
      <c r="J71" s="366"/>
      <c r="K71" s="367"/>
      <c r="L71" s="424"/>
      <c r="M71" s="369"/>
      <c r="N71" s="370">
        <f t="shared" si="3"/>
        <v>-20</v>
      </c>
      <c r="O71" s="371"/>
      <c r="P71" s="371"/>
      <c r="Q71" s="371"/>
      <c r="R71" s="371"/>
      <c r="S71" s="371"/>
      <c r="T71" s="371"/>
      <c r="U71" s="372">
        <f t="shared" si="4"/>
        <v>0</v>
      </c>
      <c r="V71" s="371"/>
      <c r="W71" s="371"/>
      <c r="X71" s="366"/>
      <c r="Y71" s="366"/>
      <c r="Z71" s="379">
        <f t="shared" si="2"/>
        <v>0</v>
      </c>
      <c r="AA71" s="366"/>
      <c r="AB71" s="374"/>
      <c r="AC71" s="375"/>
      <c r="AD71" s="376">
        <f t="shared" si="0"/>
        <v>0</v>
      </c>
      <c r="AE71" s="377"/>
      <c r="AF71" s="377"/>
      <c r="AG71" s="376">
        <f t="shared" si="1"/>
        <v>0</v>
      </c>
      <c r="AH71" s="353"/>
      <c r="AI71" s="354"/>
      <c r="AJ71" s="354"/>
      <c r="AK71" s="354"/>
      <c r="AL71" s="354"/>
      <c r="AM71" s="354"/>
      <c r="AN71" s="354"/>
      <c r="AO71" s="354"/>
    </row>
    <row r="72" spans="1:41" s="10" customFormat="1" ht="24" hidden="1" customHeight="1" x14ac:dyDescent="0.25">
      <c r="A72" s="363" t="s">
        <v>184</v>
      </c>
      <c r="B72" s="364" t="s">
        <v>185</v>
      </c>
      <c r="C72" s="365">
        <v>16.8</v>
      </c>
      <c r="D72" s="365"/>
      <c r="E72" s="365"/>
      <c r="F72" s="365">
        <v>16.8</v>
      </c>
      <c r="G72" s="366"/>
      <c r="H72" s="366"/>
      <c r="I72" s="366"/>
      <c r="J72" s="366"/>
      <c r="K72" s="367"/>
      <c r="L72" s="424"/>
      <c r="M72" s="369"/>
      <c r="N72" s="370">
        <f t="shared" si="3"/>
        <v>0</v>
      </c>
      <c r="O72" s="371"/>
      <c r="P72" s="371"/>
      <c r="Q72" s="371"/>
      <c r="R72" s="371"/>
      <c r="S72" s="371"/>
      <c r="T72" s="371"/>
      <c r="U72" s="372">
        <f t="shared" si="4"/>
        <v>0</v>
      </c>
      <c r="V72" s="371"/>
      <c r="W72" s="371"/>
      <c r="X72" s="366"/>
      <c r="Y72" s="366"/>
      <c r="Z72" s="379">
        <f t="shared" si="2"/>
        <v>0</v>
      </c>
      <c r="AA72" s="366"/>
      <c r="AB72" s="374"/>
      <c r="AC72" s="375"/>
      <c r="AD72" s="376">
        <f t="shared" si="0"/>
        <v>0</v>
      </c>
      <c r="AE72" s="377"/>
      <c r="AF72" s="377"/>
      <c r="AG72" s="376">
        <f t="shared" si="1"/>
        <v>0</v>
      </c>
      <c r="AH72" s="425"/>
      <c r="AI72" s="354"/>
      <c r="AJ72" s="354"/>
      <c r="AK72" s="354"/>
      <c r="AL72" s="354"/>
      <c r="AM72" s="354"/>
      <c r="AN72" s="354"/>
      <c r="AO72" s="354"/>
    </row>
    <row r="73" spans="1:41" s="10" customFormat="1" ht="24" hidden="1" customHeight="1" x14ac:dyDescent="0.25">
      <c r="A73" s="363" t="s">
        <v>186</v>
      </c>
      <c r="B73" s="364" t="s">
        <v>187</v>
      </c>
      <c r="C73" s="365"/>
      <c r="D73" s="365"/>
      <c r="E73" s="365"/>
      <c r="F73" s="365"/>
      <c r="G73" s="366"/>
      <c r="H73" s="366"/>
      <c r="I73" s="366"/>
      <c r="J73" s="366"/>
      <c r="K73" s="367"/>
      <c r="L73" s="368"/>
      <c r="M73" s="369"/>
      <c r="N73" s="370">
        <f t="shared" si="3"/>
        <v>0</v>
      </c>
      <c r="O73" s="371"/>
      <c r="P73" s="371"/>
      <c r="Q73" s="371"/>
      <c r="R73" s="371"/>
      <c r="S73" s="371"/>
      <c r="T73" s="371"/>
      <c r="U73" s="372">
        <f t="shared" si="4"/>
        <v>0</v>
      </c>
      <c r="V73" s="371"/>
      <c r="W73" s="371"/>
      <c r="X73" s="366"/>
      <c r="Y73" s="366"/>
      <c r="Z73" s="379">
        <f t="shared" si="2"/>
        <v>0</v>
      </c>
      <c r="AA73" s="366"/>
      <c r="AB73" s="374"/>
      <c r="AC73" s="375"/>
      <c r="AD73" s="376">
        <f t="shared" si="0"/>
        <v>0</v>
      </c>
      <c r="AE73" s="377"/>
      <c r="AF73" s="377"/>
      <c r="AG73" s="376">
        <f t="shared" si="1"/>
        <v>0</v>
      </c>
      <c r="AH73" s="353"/>
      <c r="AI73" s="354"/>
      <c r="AJ73" s="354"/>
      <c r="AK73" s="354"/>
      <c r="AL73" s="354"/>
      <c r="AM73" s="354"/>
      <c r="AN73" s="354"/>
      <c r="AO73" s="354"/>
    </row>
    <row r="74" spans="1:41" s="10" customFormat="1" ht="24" hidden="1" customHeight="1" x14ac:dyDescent="0.25">
      <c r="A74" s="363" t="s">
        <v>188</v>
      </c>
      <c r="B74" s="364" t="s">
        <v>189</v>
      </c>
      <c r="C74" s="365"/>
      <c r="D74" s="365"/>
      <c r="E74" s="365"/>
      <c r="F74" s="365"/>
      <c r="G74" s="366"/>
      <c r="H74" s="366"/>
      <c r="I74" s="366"/>
      <c r="J74" s="366"/>
      <c r="K74" s="367"/>
      <c r="L74" s="368"/>
      <c r="M74" s="369"/>
      <c r="N74" s="370">
        <f t="shared" si="3"/>
        <v>0</v>
      </c>
      <c r="O74" s="371"/>
      <c r="P74" s="371"/>
      <c r="Q74" s="371"/>
      <c r="R74" s="371"/>
      <c r="S74" s="371"/>
      <c r="T74" s="371"/>
      <c r="U74" s="372">
        <f t="shared" si="4"/>
        <v>0</v>
      </c>
      <c r="V74" s="371"/>
      <c r="W74" s="371"/>
      <c r="X74" s="366"/>
      <c r="Y74" s="366"/>
      <c r="Z74" s="379">
        <f t="shared" si="2"/>
        <v>0</v>
      </c>
      <c r="AA74" s="366"/>
      <c r="AB74" s="374"/>
      <c r="AC74" s="375"/>
      <c r="AD74" s="376">
        <f t="shared" si="0"/>
        <v>0</v>
      </c>
      <c r="AE74" s="377"/>
      <c r="AF74" s="377"/>
      <c r="AG74" s="376">
        <f t="shared" si="1"/>
        <v>0</v>
      </c>
      <c r="AH74" s="353"/>
      <c r="AI74" s="354"/>
      <c r="AJ74" s="354"/>
      <c r="AK74" s="354"/>
      <c r="AL74" s="354"/>
      <c r="AM74" s="354"/>
      <c r="AN74" s="354"/>
      <c r="AO74" s="354"/>
    </row>
    <row r="75" spans="1:41" s="10" customFormat="1" ht="24" hidden="1" customHeight="1" x14ac:dyDescent="0.25">
      <c r="A75" s="363" t="s">
        <v>190</v>
      </c>
      <c r="B75" s="364" t="s">
        <v>191</v>
      </c>
      <c r="C75" s="365"/>
      <c r="D75" s="365"/>
      <c r="E75" s="365"/>
      <c r="F75" s="365"/>
      <c r="G75" s="366"/>
      <c r="H75" s="366"/>
      <c r="I75" s="366"/>
      <c r="J75" s="366"/>
      <c r="K75" s="367"/>
      <c r="L75" s="368"/>
      <c r="M75" s="369"/>
      <c r="N75" s="370">
        <f t="shared" si="3"/>
        <v>0</v>
      </c>
      <c r="O75" s="371"/>
      <c r="P75" s="371"/>
      <c r="Q75" s="371"/>
      <c r="R75" s="371"/>
      <c r="S75" s="371"/>
      <c r="T75" s="371"/>
      <c r="U75" s="372">
        <f t="shared" si="4"/>
        <v>0</v>
      </c>
      <c r="V75" s="371"/>
      <c r="W75" s="371"/>
      <c r="X75" s="366"/>
      <c r="Y75" s="366"/>
      <c r="Z75" s="379">
        <f t="shared" si="2"/>
        <v>0</v>
      </c>
      <c r="AA75" s="366"/>
      <c r="AB75" s="374"/>
      <c r="AC75" s="375"/>
      <c r="AD75" s="376">
        <f t="shared" ref="AD75:AD86" si="16">Z75+AB75</f>
        <v>0</v>
      </c>
      <c r="AE75" s="377"/>
      <c r="AF75" s="377"/>
      <c r="AG75" s="376">
        <f t="shared" ref="AG75:AG86" si="17">AD75+AE75</f>
        <v>0</v>
      </c>
      <c r="AH75" s="353"/>
      <c r="AI75" s="354"/>
      <c r="AJ75" s="354"/>
      <c r="AK75" s="354"/>
      <c r="AL75" s="354"/>
      <c r="AM75" s="354"/>
      <c r="AN75" s="354"/>
      <c r="AO75" s="354"/>
    </row>
    <row r="76" spans="1:41" s="10" customFormat="1" ht="24" hidden="1" customHeight="1" x14ac:dyDescent="0.25">
      <c r="A76" s="363" t="s">
        <v>192</v>
      </c>
      <c r="B76" s="364" t="s">
        <v>193</v>
      </c>
      <c r="C76" s="365"/>
      <c r="D76" s="365"/>
      <c r="E76" s="365"/>
      <c r="F76" s="365"/>
      <c r="G76" s="366"/>
      <c r="H76" s="366"/>
      <c r="I76" s="366"/>
      <c r="J76" s="366"/>
      <c r="K76" s="367"/>
      <c r="L76" s="368"/>
      <c r="M76" s="369"/>
      <c r="N76" s="370">
        <f t="shared" si="3"/>
        <v>0</v>
      </c>
      <c r="O76" s="371"/>
      <c r="P76" s="371"/>
      <c r="Q76" s="371"/>
      <c r="R76" s="371"/>
      <c r="S76" s="371"/>
      <c r="T76" s="371"/>
      <c r="U76" s="372">
        <f t="shared" si="4"/>
        <v>0</v>
      </c>
      <c r="V76" s="371"/>
      <c r="W76" s="371"/>
      <c r="X76" s="366"/>
      <c r="Y76" s="366"/>
      <c r="Z76" s="379">
        <f t="shared" si="2"/>
        <v>0</v>
      </c>
      <c r="AA76" s="366"/>
      <c r="AB76" s="374"/>
      <c r="AC76" s="375"/>
      <c r="AD76" s="376">
        <f t="shared" si="16"/>
        <v>0</v>
      </c>
      <c r="AE76" s="377"/>
      <c r="AF76" s="377"/>
      <c r="AG76" s="376">
        <f t="shared" si="17"/>
        <v>0</v>
      </c>
      <c r="AH76" s="353"/>
      <c r="AI76" s="354"/>
      <c r="AJ76" s="354"/>
      <c r="AK76" s="354"/>
      <c r="AL76" s="354"/>
      <c r="AM76" s="354"/>
      <c r="AN76" s="354"/>
      <c r="AO76" s="354"/>
    </row>
    <row r="77" spans="1:41" s="10" customFormat="1" ht="24" customHeight="1" x14ac:dyDescent="0.25">
      <c r="A77" s="363" t="s">
        <v>194</v>
      </c>
      <c r="B77" s="364" t="s">
        <v>195</v>
      </c>
      <c r="C77" s="365">
        <v>38.4</v>
      </c>
      <c r="D77" s="365">
        <v>38.4</v>
      </c>
      <c r="E77" s="365"/>
      <c r="F77" s="365"/>
      <c r="G77" s="366"/>
      <c r="H77" s="366"/>
      <c r="I77" s="366"/>
      <c r="J77" s="366"/>
      <c r="K77" s="367"/>
      <c r="L77" s="368" t="s">
        <v>35</v>
      </c>
      <c r="M77" s="369">
        <v>40.299999999999997</v>
      </c>
      <c r="N77" s="370">
        <f t="shared" si="3"/>
        <v>1.8999999999999986</v>
      </c>
      <c r="O77" s="371"/>
      <c r="P77" s="371"/>
      <c r="Q77" s="371"/>
      <c r="R77" s="371"/>
      <c r="S77" s="371"/>
      <c r="T77" s="371"/>
      <c r="U77" s="372">
        <f t="shared" ref="U77:U86" si="18">Q77+R77+S77+T77</f>
        <v>0</v>
      </c>
      <c r="V77" s="371"/>
      <c r="W77" s="371"/>
      <c r="X77" s="366"/>
      <c r="Y77" s="366"/>
      <c r="Z77" s="379">
        <f t="shared" ref="Z77:Z86" si="19">M77+O77+U77+V77+W77+X77</f>
        <v>40.299999999999997</v>
      </c>
      <c r="AA77" s="366"/>
      <c r="AB77" s="374"/>
      <c r="AC77" s="375"/>
      <c r="AD77" s="376">
        <f t="shared" si="16"/>
        <v>40.299999999999997</v>
      </c>
      <c r="AE77" s="377"/>
      <c r="AF77" s="377"/>
      <c r="AG77" s="376">
        <f t="shared" si="17"/>
        <v>40.299999999999997</v>
      </c>
      <c r="AH77" s="353"/>
      <c r="AI77" s="354"/>
      <c r="AJ77" s="354"/>
      <c r="AK77" s="354"/>
      <c r="AL77" s="354"/>
      <c r="AM77" s="354"/>
      <c r="AN77" s="354"/>
      <c r="AO77" s="354"/>
    </row>
    <row r="78" spans="1:41" s="10" customFormat="1" ht="24" customHeight="1" x14ac:dyDescent="0.25">
      <c r="A78" s="363" t="s">
        <v>196</v>
      </c>
      <c r="B78" s="364" t="s">
        <v>197</v>
      </c>
      <c r="C78" s="365">
        <v>68.900000000000006</v>
      </c>
      <c r="D78" s="365">
        <v>68.900000000000006</v>
      </c>
      <c r="E78" s="365"/>
      <c r="F78" s="365"/>
      <c r="G78" s="366"/>
      <c r="H78" s="366"/>
      <c r="I78" s="366"/>
      <c r="J78" s="366"/>
      <c r="K78" s="367"/>
      <c r="L78" s="368" t="s">
        <v>35</v>
      </c>
      <c r="M78" s="369">
        <v>103</v>
      </c>
      <c r="N78" s="370">
        <f t="shared" ref="N78:N84" si="20">M78-D78</f>
        <v>34.099999999999994</v>
      </c>
      <c r="O78" s="371"/>
      <c r="P78" s="371"/>
      <c r="Q78" s="371"/>
      <c r="R78" s="371"/>
      <c r="S78" s="371"/>
      <c r="T78" s="371"/>
      <c r="U78" s="372">
        <f t="shared" si="18"/>
        <v>0</v>
      </c>
      <c r="V78" s="371"/>
      <c r="W78" s="371"/>
      <c r="X78" s="366"/>
      <c r="Y78" s="366"/>
      <c r="Z78" s="379">
        <f t="shared" si="19"/>
        <v>103</v>
      </c>
      <c r="AA78" s="366"/>
      <c r="AB78" s="374"/>
      <c r="AC78" s="375"/>
      <c r="AD78" s="376">
        <f t="shared" si="16"/>
        <v>103</v>
      </c>
      <c r="AE78" s="377"/>
      <c r="AF78" s="377"/>
      <c r="AG78" s="376">
        <f t="shared" si="17"/>
        <v>103</v>
      </c>
      <c r="AH78" s="353"/>
      <c r="AI78" s="354"/>
      <c r="AJ78" s="354"/>
      <c r="AK78" s="354"/>
      <c r="AL78" s="354"/>
      <c r="AM78" s="354"/>
      <c r="AN78" s="354"/>
      <c r="AO78" s="354"/>
    </row>
    <row r="79" spans="1:41" s="10" customFormat="1" ht="24" customHeight="1" x14ac:dyDescent="0.25">
      <c r="A79" s="363" t="s">
        <v>198</v>
      </c>
      <c r="B79" s="364" t="s">
        <v>199</v>
      </c>
      <c r="C79" s="365">
        <v>107</v>
      </c>
      <c r="D79" s="365">
        <v>107</v>
      </c>
      <c r="E79" s="365"/>
      <c r="F79" s="365"/>
      <c r="G79" s="366"/>
      <c r="H79" s="366"/>
      <c r="I79" s="366"/>
      <c r="J79" s="366"/>
      <c r="K79" s="367"/>
      <c r="L79" s="368" t="s">
        <v>35</v>
      </c>
      <c r="M79" s="369">
        <f>777-0.8</f>
        <v>776.2</v>
      </c>
      <c r="N79" s="370">
        <f t="shared" si="20"/>
        <v>669.2</v>
      </c>
      <c r="O79" s="371"/>
      <c r="P79" s="371"/>
      <c r="Q79" s="371"/>
      <c r="R79" s="371"/>
      <c r="S79" s="371"/>
      <c r="T79" s="371">
        <v>267</v>
      </c>
      <c r="U79" s="372">
        <f t="shared" si="18"/>
        <v>267</v>
      </c>
      <c r="V79" s="371"/>
      <c r="W79" s="371"/>
      <c r="X79" s="366"/>
      <c r="Y79" s="366"/>
      <c r="Z79" s="379">
        <f t="shared" si="19"/>
        <v>1043.2</v>
      </c>
      <c r="AA79" s="366"/>
      <c r="AB79" s="374">
        <f>400+0.8</f>
        <v>400.8</v>
      </c>
      <c r="AC79" s="419" t="s">
        <v>200</v>
      </c>
      <c r="AD79" s="376">
        <f t="shared" si="16"/>
        <v>1444</v>
      </c>
      <c r="AE79" s="377"/>
      <c r="AF79" s="377"/>
      <c r="AG79" s="376">
        <f t="shared" si="17"/>
        <v>1444</v>
      </c>
      <c r="AH79" s="353"/>
      <c r="AI79" s="354"/>
      <c r="AJ79" s="354"/>
      <c r="AK79" s="354"/>
      <c r="AL79" s="354"/>
      <c r="AM79" s="354"/>
      <c r="AN79" s="354"/>
      <c r="AO79" s="354"/>
    </row>
    <row r="80" spans="1:41" s="10" customFormat="1" ht="24" customHeight="1" x14ac:dyDescent="0.25">
      <c r="A80" s="363" t="s">
        <v>201</v>
      </c>
      <c r="B80" s="364" t="s">
        <v>202</v>
      </c>
      <c r="C80" s="365">
        <v>107</v>
      </c>
      <c r="D80" s="365">
        <v>107</v>
      </c>
      <c r="E80" s="365"/>
      <c r="F80" s="365"/>
      <c r="G80" s="366"/>
      <c r="H80" s="366"/>
      <c r="I80" s="366"/>
      <c r="J80" s="366"/>
      <c r="K80" s="367"/>
      <c r="L80" s="368" t="s">
        <v>35</v>
      </c>
      <c r="M80" s="369">
        <f>7.2+40.8-0.7-3.9</f>
        <v>43.4</v>
      </c>
      <c r="N80" s="370">
        <f t="shared" si="20"/>
        <v>-63.6</v>
      </c>
      <c r="O80" s="371"/>
      <c r="P80" s="371"/>
      <c r="Q80" s="371"/>
      <c r="R80" s="371"/>
      <c r="S80" s="371"/>
      <c r="T80" s="371">
        <v>40.799999999999997</v>
      </c>
      <c r="U80" s="372">
        <f t="shared" si="18"/>
        <v>40.799999999999997</v>
      </c>
      <c r="V80" s="371"/>
      <c r="W80" s="371"/>
      <c r="X80" s="366"/>
      <c r="Y80" s="366"/>
      <c r="Z80" s="379">
        <f t="shared" si="19"/>
        <v>84.199999999999989</v>
      </c>
      <c r="AA80" s="366"/>
      <c r="AB80" s="374">
        <f>0.7+3.9</f>
        <v>4.5999999999999996</v>
      </c>
      <c r="AC80" s="375" t="s">
        <v>203</v>
      </c>
      <c r="AD80" s="376">
        <f t="shared" si="16"/>
        <v>88.799999999999983</v>
      </c>
      <c r="AE80" s="377"/>
      <c r="AF80" s="377"/>
      <c r="AG80" s="376">
        <f t="shared" si="17"/>
        <v>88.799999999999983</v>
      </c>
      <c r="AH80" s="353"/>
      <c r="AI80" s="354"/>
      <c r="AJ80" s="354"/>
      <c r="AK80" s="354"/>
      <c r="AL80" s="354"/>
      <c r="AM80" s="354"/>
      <c r="AN80" s="354"/>
      <c r="AO80" s="354"/>
    </row>
    <row r="81" spans="1:41" s="10" customFormat="1" ht="24" customHeight="1" x14ac:dyDescent="0.25">
      <c r="A81" s="363" t="s">
        <v>204</v>
      </c>
      <c r="B81" s="364" t="s">
        <v>205</v>
      </c>
      <c r="C81" s="365">
        <v>122.6</v>
      </c>
      <c r="D81" s="365">
        <v>122.6</v>
      </c>
      <c r="E81" s="365"/>
      <c r="F81" s="365"/>
      <c r="G81" s="366"/>
      <c r="H81" s="366"/>
      <c r="I81" s="366"/>
      <c r="J81" s="366"/>
      <c r="K81" s="367"/>
      <c r="L81" s="368" t="s">
        <v>35</v>
      </c>
      <c r="M81" s="369">
        <f>692.2+123-1.3-7.4</f>
        <v>806.50000000000011</v>
      </c>
      <c r="N81" s="370">
        <f t="shared" si="20"/>
        <v>683.90000000000009</v>
      </c>
      <c r="O81" s="371"/>
      <c r="P81" s="371"/>
      <c r="Q81" s="371"/>
      <c r="R81" s="371"/>
      <c r="S81" s="371"/>
      <c r="T81" s="371">
        <v>692.2</v>
      </c>
      <c r="U81" s="372">
        <f t="shared" si="18"/>
        <v>692.2</v>
      </c>
      <c r="V81" s="371"/>
      <c r="W81" s="371"/>
      <c r="X81" s="366"/>
      <c r="Y81" s="366"/>
      <c r="Z81" s="379">
        <f t="shared" si="19"/>
        <v>1498.7000000000003</v>
      </c>
      <c r="AA81" s="366"/>
      <c r="AB81" s="374">
        <f>1.3+7.4</f>
        <v>8.7000000000000011</v>
      </c>
      <c r="AC81" s="375" t="s">
        <v>206</v>
      </c>
      <c r="AD81" s="376">
        <f t="shared" si="16"/>
        <v>1507.4000000000003</v>
      </c>
      <c r="AE81" s="377"/>
      <c r="AF81" s="377"/>
      <c r="AG81" s="376">
        <f t="shared" si="17"/>
        <v>1507.4000000000003</v>
      </c>
      <c r="AH81" s="353"/>
      <c r="AI81" s="354"/>
      <c r="AJ81" s="354"/>
      <c r="AK81" s="354"/>
      <c r="AL81" s="354"/>
      <c r="AM81" s="354"/>
      <c r="AN81" s="354"/>
      <c r="AO81" s="354"/>
    </row>
    <row r="82" spans="1:41" s="10" customFormat="1" ht="24" customHeight="1" x14ac:dyDescent="0.25">
      <c r="A82" s="363" t="s">
        <v>207</v>
      </c>
      <c r="B82" s="364" t="s">
        <v>208</v>
      </c>
      <c r="C82" s="365">
        <v>165</v>
      </c>
      <c r="D82" s="365">
        <v>165</v>
      </c>
      <c r="E82" s="365"/>
      <c r="F82" s="365"/>
      <c r="G82" s="366"/>
      <c r="H82" s="366"/>
      <c r="I82" s="366"/>
      <c r="J82" s="366"/>
      <c r="K82" s="367"/>
      <c r="L82" s="368" t="s">
        <v>35</v>
      </c>
      <c r="M82" s="369">
        <f>633.1-0.8</f>
        <v>632.30000000000007</v>
      </c>
      <c r="N82" s="370">
        <f t="shared" si="20"/>
        <v>467.30000000000007</v>
      </c>
      <c r="O82" s="371"/>
      <c r="P82" s="371"/>
      <c r="Q82" s="371"/>
      <c r="R82" s="371"/>
      <c r="S82" s="371"/>
      <c r="T82" s="371">
        <v>816</v>
      </c>
      <c r="U82" s="372">
        <f t="shared" si="18"/>
        <v>816</v>
      </c>
      <c r="V82" s="371"/>
      <c r="W82" s="371"/>
      <c r="X82" s="366"/>
      <c r="Y82" s="366"/>
      <c r="Z82" s="379">
        <f t="shared" si="19"/>
        <v>1448.3000000000002</v>
      </c>
      <c r="AA82" s="366"/>
      <c r="AB82" s="374">
        <f>200+0.8</f>
        <v>200.8</v>
      </c>
      <c r="AC82" s="419" t="s">
        <v>209</v>
      </c>
      <c r="AD82" s="376">
        <f t="shared" si="16"/>
        <v>1649.1000000000001</v>
      </c>
      <c r="AE82" s="377"/>
      <c r="AF82" s="377"/>
      <c r="AG82" s="376">
        <f t="shared" si="17"/>
        <v>1649.1000000000001</v>
      </c>
      <c r="AH82" s="353"/>
      <c r="AI82" s="354"/>
      <c r="AJ82" s="354"/>
      <c r="AK82" s="354"/>
      <c r="AL82" s="354"/>
      <c r="AM82" s="354"/>
      <c r="AN82" s="354"/>
      <c r="AO82" s="354"/>
    </row>
    <row r="83" spans="1:41" s="10" customFormat="1" ht="24" customHeight="1" x14ac:dyDescent="0.25">
      <c r="A83" s="363" t="s">
        <v>210</v>
      </c>
      <c r="B83" s="364" t="s">
        <v>211</v>
      </c>
      <c r="C83" s="365">
        <v>0</v>
      </c>
      <c r="D83" s="365">
        <v>0</v>
      </c>
      <c r="E83" s="365"/>
      <c r="F83" s="365"/>
      <c r="G83" s="366"/>
      <c r="H83" s="366"/>
      <c r="I83" s="366"/>
      <c r="J83" s="366"/>
      <c r="K83" s="367"/>
      <c r="L83" s="368"/>
      <c r="M83" s="371"/>
      <c r="N83" s="426"/>
      <c r="O83" s="371">
        <v>20</v>
      </c>
      <c r="P83" s="371"/>
      <c r="Q83" s="371"/>
      <c r="R83" s="371"/>
      <c r="S83" s="371"/>
      <c r="T83" s="371"/>
      <c r="U83" s="372">
        <f t="shared" si="18"/>
        <v>0</v>
      </c>
      <c r="V83" s="371"/>
      <c r="W83" s="371"/>
      <c r="X83" s="366"/>
      <c r="Y83" s="366"/>
      <c r="Z83" s="379">
        <f t="shared" si="19"/>
        <v>20</v>
      </c>
      <c r="AA83" s="366"/>
      <c r="AB83" s="374"/>
      <c r="AC83" s="419"/>
      <c r="AD83" s="376">
        <f t="shared" si="16"/>
        <v>20</v>
      </c>
      <c r="AE83" s="377"/>
      <c r="AF83" s="377"/>
      <c r="AG83" s="376">
        <f t="shared" si="17"/>
        <v>20</v>
      </c>
      <c r="AH83" s="353"/>
      <c r="AI83" s="354"/>
      <c r="AJ83" s="354"/>
      <c r="AK83" s="354"/>
      <c r="AL83" s="354"/>
      <c r="AM83" s="354"/>
      <c r="AN83" s="354"/>
      <c r="AO83" s="354"/>
    </row>
    <row r="84" spans="1:41" s="10" customFormat="1" ht="24" customHeight="1" x14ac:dyDescent="0.25">
      <c r="A84" s="363" t="s">
        <v>212</v>
      </c>
      <c r="B84" s="364" t="s">
        <v>213</v>
      </c>
      <c r="C84" s="365">
        <v>0</v>
      </c>
      <c r="D84" s="365"/>
      <c r="E84" s="365"/>
      <c r="F84" s="365"/>
      <c r="G84" s="366"/>
      <c r="H84" s="366"/>
      <c r="I84" s="366"/>
      <c r="J84" s="366"/>
      <c r="K84" s="367"/>
      <c r="L84" s="368" t="s">
        <v>35</v>
      </c>
      <c r="M84" s="371">
        <f>16.2+91.8-0.2-1.1</f>
        <v>106.7</v>
      </c>
      <c r="N84" s="426">
        <f t="shared" si="20"/>
        <v>106.7</v>
      </c>
      <c r="O84" s="371"/>
      <c r="P84" s="371"/>
      <c r="Q84" s="371"/>
      <c r="R84" s="371"/>
      <c r="S84" s="371"/>
      <c r="T84" s="371">
        <v>91.8</v>
      </c>
      <c r="U84" s="372">
        <f t="shared" si="18"/>
        <v>91.8</v>
      </c>
      <c r="V84" s="371"/>
      <c r="W84" s="371"/>
      <c r="X84" s="366"/>
      <c r="Y84" s="366"/>
      <c r="Z84" s="379">
        <f t="shared" si="19"/>
        <v>198.5</v>
      </c>
      <c r="AA84" s="366"/>
      <c r="AB84" s="374">
        <f>0.2+1.1</f>
        <v>1.3</v>
      </c>
      <c r="AC84" s="375" t="s">
        <v>214</v>
      </c>
      <c r="AD84" s="376">
        <f t="shared" si="16"/>
        <v>199.8</v>
      </c>
      <c r="AE84" s="377"/>
      <c r="AF84" s="377"/>
      <c r="AG84" s="376">
        <f t="shared" si="17"/>
        <v>199.8</v>
      </c>
      <c r="AH84" s="353"/>
      <c r="AI84" s="354"/>
      <c r="AJ84" s="354"/>
      <c r="AK84" s="354"/>
      <c r="AL84" s="354"/>
      <c r="AM84" s="354"/>
      <c r="AN84" s="354"/>
      <c r="AO84" s="354"/>
    </row>
    <row r="85" spans="1:41" s="10" customFormat="1" ht="24" customHeight="1" x14ac:dyDescent="0.25">
      <c r="A85" s="363" t="s">
        <v>215</v>
      </c>
      <c r="B85" s="364" t="s">
        <v>216</v>
      </c>
      <c r="C85" s="365">
        <v>0</v>
      </c>
      <c r="D85" s="365"/>
      <c r="E85" s="365"/>
      <c r="F85" s="365"/>
      <c r="G85" s="366"/>
      <c r="H85" s="366"/>
      <c r="I85" s="366"/>
      <c r="J85" s="366"/>
      <c r="K85" s="367"/>
      <c r="L85" s="368" t="s">
        <v>35</v>
      </c>
      <c r="M85" s="371"/>
      <c r="N85" s="426"/>
      <c r="O85" s="371"/>
      <c r="P85" s="371"/>
      <c r="Q85" s="371"/>
      <c r="R85" s="371"/>
      <c r="S85" s="371"/>
      <c r="T85" s="371">
        <v>382</v>
      </c>
      <c r="U85" s="372">
        <f t="shared" si="18"/>
        <v>382</v>
      </c>
      <c r="V85" s="371"/>
      <c r="W85" s="371"/>
      <c r="X85" s="366"/>
      <c r="Y85" s="366"/>
      <c r="Z85" s="379">
        <f t="shared" si="19"/>
        <v>382</v>
      </c>
      <c r="AA85" s="366"/>
      <c r="AB85" s="374"/>
      <c r="AC85" s="375"/>
      <c r="AD85" s="376">
        <f t="shared" si="16"/>
        <v>382</v>
      </c>
      <c r="AE85" s="377"/>
      <c r="AF85" s="377"/>
      <c r="AG85" s="376">
        <f t="shared" si="17"/>
        <v>382</v>
      </c>
      <c r="AH85" s="353"/>
      <c r="AI85" s="354"/>
      <c r="AJ85" s="354"/>
      <c r="AK85" s="354"/>
      <c r="AL85" s="354"/>
      <c r="AM85" s="354"/>
      <c r="AN85" s="354"/>
      <c r="AO85" s="354"/>
    </row>
    <row r="86" spans="1:41" s="10" customFormat="1" ht="24" customHeight="1" x14ac:dyDescent="0.25">
      <c r="A86" s="363" t="s">
        <v>217</v>
      </c>
      <c r="B86" s="364" t="s">
        <v>218</v>
      </c>
      <c r="C86" s="365"/>
      <c r="D86" s="365"/>
      <c r="E86" s="365"/>
      <c r="F86" s="365"/>
      <c r="G86" s="366"/>
      <c r="H86" s="366"/>
      <c r="I86" s="366"/>
      <c r="J86" s="366"/>
      <c r="K86" s="367"/>
      <c r="L86" s="368" t="s">
        <v>35</v>
      </c>
      <c r="M86" s="371"/>
      <c r="N86" s="426"/>
      <c r="O86" s="371"/>
      <c r="P86" s="371"/>
      <c r="Q86" s="371"/>
      <c r="R86" s="371"/>
      <c r="S86" s="371"/>
      <c r="T86" s="371">
        <v>176</v>
      </c>
      <c r="U86" s="372">
        <f t="shared" si="18"/>
        <v>176</v>
      </c>
      <c r="V86" s="371"/>
      <c r="W86" s="371"/>
      <c r="X86" s="366"/>
      <c r="Y86" s="366"/>
      <c r="Z86" s="379">
        <f t="shared" si="19"/>
        <v>176</v>
      </c>
      <c r="AA86" s="366"/>
      <c r="AB86" s="374"/>
      <c r="AC86" s="375"/>
      <c r="AD86" s="376">
        <f t="shared" si="16"/>
        <v>176</v>
      </c>
      <c r="AE86" s="377"/>
      <c r="AF86" s="377"/>
      <c r="AG86" s="376">
        <f t="shared" si="17"/>
        <v>176</v>
      </c>
      <c r="AH86" s="353"/>
      <c r="AI86" s="354"/>
      <c r="AJ86" s="354"/>
      <c r="AK86" s="354"/>
      <c r="AL86" s="354"/>
      <c r="AM86" s="354"/>
      <c r="AN86" s="354"/>
      <c r="AO86" s="354"/>
    </row>
    <row r="87" spans="1:41" s="8" customFormat="1" ht="24" customHeight="1" x14ac:dyDescent="0.25">
      <c r="A87" s="427"/>
      <c r="B87" s="29"/>
      <c r="C87" s="428"/>
      <c r="D87" s="428"/>
      <c r="E87" s="428"/>
      <c r="F87" s="428"/>
      <c r="G87" s="29"/>
      <c r="H87" s="29"/>
      <c r="I87" s="29"/>
      <c r="J87" s="29"/>
      <c r="K87" s="427"/>
      <c r="L87" s="25"/>
      <c r="M87" s="354"/>
      <c r="N87" s="429"/>
      <c r="O87" s="25"/>
      <c r="P87" s="430"/>
      <c r="Q87" s="25"/>
      <c r="R87" s="25"/>
      <c r="S87" s="25"/>
      <c r="T87" s="25"/>
      <c r="U87" s="25"/>
      <c r="V87" s="25"/>
      <c r="W87" s="25"/>
      <c r="X87" s="25"/>
      <c r="Y87" s="25"/>
      <c r="Z87" s="25"/>
      <c r="AA87" s="25"/>
      <c r="AB87" s="25"/>
      <c r="AC87" s="25"/>
      <c r="AD87" s="25"/>
      <c r="AE87" s="25"/>
      <c r="AF87" s="25"/>
      <c r="AG87" s="29"/>
      <c r="AH87" s="427"/>
      <c r="AI87" s="29"/>
      <c r="AJ87" s="29"/>
      <c r="AK87" s="29"/>
      <c r="AL87" s="29"/>
      <c r="AM87" s="29"/>
      <c r="AN87" s="29"/>
      <c r="AO87" s="29"/>
    </row>
    <row r="88" spans="1:41" ht="24" customHeight="1" x14ac:dyDescent="0.25">
      <c r="A88" s="107"/>
      <c r="B88" s="114"/>
      <c r="C88" s="114"/>
      <c r="D88" s="114"/>
      <c r="E88" s="114"/>
      <c r="F88" s="114"/>
      <c r="G88" s="114"/>
      <c r="H88" s="114"/>
      <c r="I88" s="114"/>
      <c r="J88" s="114"/>
      <c r="K88" s="107"/>
      <c r="L88" s="120"/>
      <c r="M88" s="431"/>
      <c r="N88" s="432"/>
      <c r="O88" s="120"/>
      <c r="P88" s="433"/>
      <c r="Q88" s="120"/>
      <c r="R88" s="120"/>
      <c r="S88" s="120"/>
      <c r="T88" s="120"/>
      <c r="U88" s="120"/>
      <c r="V88" s="120"/>
      <c r="W88" s="120"/>
      <c r="X88" s="120"/>
      <c r="Y88" s="120"/>
      <c r="Z88" s="120"/>
      <c r="AA88" s="120"/>
      <c r="AB88" s="120"/>
      <c r="AC88" s="107"/>
      <c r="AD88" s="120"/>
      <c r="AE88" s="120"/>
      <c r="AF88" s="120"/>
      <c r="AG88" s="114"/>
      <c r="AH88" s="107"/>
      <c r="AI88" s="114"/>
      <c r="AJ88" s="114"/>
      <c r="AK88" s="114"/>
      <c r="AL88" s="114"/>
      <c r="AM88" s="114"/>
      <c r="AN88" s="114"/>
      <c r="AO88" s="114"/>
    </row>
  </sheetData>
  <sheetProtection algorithmName="SHA-512" hashValue="XRWV3TXIUoHxZ1M/0yyfcQlzXMG8bRBUxgd66IWver/aPSjON1yQ8ZCCv0ruYY/x9EPkdfOmaodn6604Pj2g/g==" saltValue="YqzS/1bjQ+V19fUzK5+GLA==" spinCount="100000" sheet="1" objects="1" scenarios="1"/>
  <mergeCells count="17">
    <mergeCell ref="AE3:AE4"/>
    <mergeCell ref="AF3:AF4"/>
    <mergeCell ref="AG3:AG4"/>
    <mergeCell ref="I3:I4"/>
    <mergeCell ref="K3:K4"/>
    <mergeCell ref="Z3:Z4"/>
    <mergeCell ref="AB3:AB4"/>
    <mergeCell ref="AC3:AC4"/>
    <mergeCell ref="AD3:AD4"/>
    <mergeCell ref="B1:AF1"/>
    <mergeCell ref="AF2:AG2"/>
    <mergeCell ref="L3:L5"/>
    <mergeCell ref="A3:A4"/>
    <mergeCell ref="B3:B4"/>
    <mergeCell ref="C3:C4"/>
    <mergeCell ref="G3:G4"/>
    <mergeCell ref="H3:H4"/>
  </mergeCells>
  <pageMargins left="0.39370078740157483" right="0" top="0.19685039370078741" bottom="0.19685039370078741" header="0.31496062992125984" footer="0.31496062992125984"/>
  <pageSetup paperSize="8" scale="95" orientation="landscape" r:id="rId1"/>
  <colBreaks count="1" manualBreakCount="1">
    <brk id="33"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A4201-EA49-4CF2-A2AA-7447D7A42E8A}">
  <sheetPr>
    <tabColor rgb="FF92D050"/>
  </sheetPr>
  <dimension ref="A1:AM155"/>
  <sheetViews>
    <sheetView showGridLines="0" showRowColHeaders="0" zoomScaleNormal="100" zoomScaleSheetLayoutView="80" workbookViewId="0">
      <pane ySplit="5" topLeftCell="A6" activePane="bottomLeft" state="frozen"/>
      <selection pane="bottomLeft" activeCell="AJ10" sqref="AJ10"/>
    </sheetView>
  </sheetViews>
  <sheetFormatPr defaultColWidth="9.140625" defaultRowHeight="24.75" customHeight="1" x14ac:dyDescent="0.25"/>
  <cols>
    <col min="1" max="1" width="11.7109375" style="5" customWidth="1"/>
    <col min="2" max="2" width="119.140625" style="11" customWidth="1"/>
    <col min="3" max="3" width="6.7109375" style="7" hidden="1" customWidth="1"/>
    <col min="4" max="4" width="7" style="7" hidden="1" customWidth="1"/>
    <col min="5" max="5" width="5" style="7" hidden="1" customWidth="1"/>
    <col min="6" max="6" width="6.42578125" style="7" hidden="1" customWidth="1"/>
    <col min="7" max="7" width="6.85546875" style="7" hidden="1" customWidth="1"/>
    <col min="8" max="8" width="6.42578125" style="7" hidden="1" customWidth="1"/>
    <col min="9" max="9" width="3.7109375" style="7" hidden="1" customWidth="1"/>
    <col min="10" max="10" width="1.140625" style="7" hidden="1" customWidth="1"/>
    <col min="11" max="11" width="26" style="7" hidden="1" customWidth="1"/>
    <col min="12" max="12" width="7.85546875" style="7" hidden="1" customWidth="1"/>
    <col min="13" max="13" width="6.7109375" style="18" hidden="1" customWidth="1"/>
    <col min="14" max="14" width="5.5703125" style="19" hidden="1" customWidth="1"/>
    <col min="15" max="15" width="7.5703125" style="20" hidden="1" customWidth="1"/>
    <col min="16" max="16" width="5.28515625" style="21" hidden="1" customWidth="1"/>
    <col min="17" max="17" width="2.85546875" style="7" hidden="1" customWidth="1"/>
    <col min="18" max="18" width="5.85546875" style="7" hidden="1" customWidth="1"/>
    <col min="19" max="19" width="6.28515625" style="7" hidden="1" customWidth="1"/>
    <col min="20" max="20" width="5.5703125" style="7" hidden="1" customWidth="1"/>
    <col min="21" max="21" width="5.42578125" style="7" hidden="1" customWidth="1"/>
    <col min="22" max="22" width="4" style="7" hidden="1" customWidth="1"/>
    <col min="23" max="23" width="6.42578125" style="7" hidden="1" customWidth="1"/>
    <col min="24" max="24" width="3.5703125" style="7" hidden="1" customWidth="1"/>
    <col min="25" max="25" width="5.28515625" style="7" hidden="1" customWidth="1"/>
    <col min="26" max="26" width="13" style="5" customWidth="1"/>
    <col min="27" max="27" width="4.5703125" style="7" hidden="1" customWidth="1"/>
    <col min="28" max="28" width="5.5703125" style="7" hidden="1" customWidth="1"/>
    <col min="29" max="29" width="17.7109375" style="22" hidden="1" customWidth="1"/>
    <col min="30" max="30" width="6.42578125" style="7" hidden="1" customWidth="1"/>
    <col min="31" max="31" width="6" style="7" hidden="1" customWidth="1"/>
    <col min="32" max="32" width="14.85546875" style="7" hidden="1" customWidth="1"/>
    <col min="33" max="33" width="7" style="7" hidden="1" customWidth="1"/>
    <col min="34" max="16384" width="9.140625" style="5"/>
  </cols>
  <sheetData>
    <row r="1" spans="1:39" s="4" customFormat="1" ht="24.75" customHeight="1" x14ac:dyDescent="0.25">
      <c r="A1" s="298"/>
      <c r="B1" s="299" t="s">
        <v>0</v>
      </c>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1" t="s">
        <v>1</v>
      </c>
      <c r="AH1" s="161"/>
      <c r="AI1" s="161"/>
      <c r="AJ1" s="161"/>
      <c r="AK1" s="161"/>
      <c r="AL1" s="161"/>
      <c r="AM1" s="161"/>
    </row>
    <row r="2" spans="1:39" s="4" customFormat="1" ht="24.75" customHeight="1" x14ac:dyDescent="0.25">
      <c r="A2" s="298"/>
      <c r="B2" s="434"/>
      <c r="C2" s="298"/>
      <c r="D2" s="298"/>
      <c r="E2" s="298"/>
      <c r="F2" s="298"/>
      <c r="G2" s="298"/>
      <c r="H2" s="298"/>
      <c r="I2" s="161"/>
      <c r="J2" s="161"/>
      <c r="K2" s="304"/>
      <c r="L2" s="304"/>
      <c r="M2" s="304">
        <f>'[1]Kontroliniai dydžiai '!Q6</f>
        <v>14539.037340000001</v>
      </c>
      <c r="N2" s="435"/>
      <c r="O2" s="306">
        <f>M2-M6</f>
        <v>-2190.362659999997</v>
      </c>
      <c r="P2" s="161"/>
      <c r="Q2" s="161"/>
      <c r="R2" s="161"/>
      <c r="S2" s="161"/>
      <c r="T2" s="161"/>
      <c r="U2" s="161"/>
      <c r="V2" s="161"/>
      <c r="W2" s="161"/>
      <c r="X2" s="161"/>
      <c r="Y2" s="161"/>
      <c r="Z2" s="298"/>
      <c r="AA2" s="276"/>
      <c r="AB2" s="161"/>
      <c r="AC2" s="305"/>
      <c r="AD2" s="161"/>
      <c r="AE2" s="161"/>
      <c r="AF2" s="436" t="s">
        <v>1</v>
      </c>
      <c r="AG2" s="437"/>
      <c r="AH2" s="161"/>
      <c r="AI2" s="161"/>
      <c r="AJ2" s="161"/>
      <c r="AK2" s="161"/>
      <c r="AL2" s="161"/>
      <c r="AM2" s="161"/>
    </row>
    <row r="3" spans="1:39" s="3" customFormat="1" ht="24.75" customHeight="1" x14ac:dyDescent="0.25">
      <c r="A3" s="438" t="s">
        <v>3</v>
      </c>
      <c r="B3" s="438" t="s">
        <v>4</v>
      </c>
      <c r="C3" s="439" t="s">
        <v>5</v>
      </c>
      <c r="D3" s="440"/>
      <c r="E3" s="441"/>
      <c r="F3" s="442"/>
      <c r="G3" s="443" t="s">
        <v>6</v>
      </c>
      <c r="H3" s="444" t="s">
        <v>7</v>
      </c>
      <c r="I3" s="445"/>
      <c r="J3" s="115"/>
      <c r="K3" s="446"/>
      <c r="L3" s="447"/>
      <c r="M3" s="448" t="s">
        <v>8</v>
      </c>
      <c r="N3" s="449"/>
      <c r="O3" s="449"/>
      <c r="P3" s="449"/>
      <c r="Q3" s="449"/>
      <c r="R3" s="449"/>
      <c r="S3" s="449"/>
      <c r="T3" s="449"/>
      <c r="U3" s="449"/>
      <c r="V3" s="449"/>
      <c r="W3" s="449"/>
      <c r="X3" s="450"/>
      <c r="Y3" s="451"/>
      <c r="Z3" s="323" t="s">
        <v>921</v>
      </c>
      <c r="AA3" s="127"/>
      <c r="AB3" s="128" t="s">
        <v>9</v>
      </c>
      <c r="AC3" s="452" t="s">
        <v>922</v>
      </c>
      <c r="AD3" s="453" t="s">
        <v>10</v>
      </c>
      <c r="AE3" s="132" t="s">
        <v>11</v>
      </c>
      <c r="AF3" s="132" t="s">
        <v>740</v>
      </c>
      <c r="AG3" s="454" t="s">
        <v>12</v>
      </c>
      <c r="AH3" s="120"/>
      <c r="AI3" s="120"/>
      <c r="AJ3" s="120"/>
      <c r="AK3" s="120"/>
      <c r="AL3" s="120"/>
      <c r="AM3" s="120"/>
    </row>
    <row r="4" spans="1:39" s="3" customFormat="1" ht="24.75" customHeight="1" x14ac:dyDescent="0.25">
      <c r="A4" s="455"/>
      <c r="B4" s="455"/>
      <c r="C4" s="456"/>
      <c r="D4" s="457" t="s">
        <v>13</v>
      </c>
      <c r="E4" s="458" t="s">
        <v>14</v>
      </c>
      <c r="F4" s="459" t="s">
        <v>15</v>
      </c>
      <c r="G4" s="460"/>
      <c r="H4" s="461"/>
      <c r="I4" s="462"/>
      <c r="J4" s="463"/>
      <c r="K4" s="464"/>
      <c r="L4" s="463"/>
      <c r="M4" s="465" t="s">
        <v>904</v>
      </c>
      <c r="N4" s="466" t="s">
        <v>235</v>
      </c>
      <c r="O4" s="467" t="s">
        <v>905</v>
      </c>
      <c r="P4" s="468" t="s">
        <v>17</v>
      </c>
      <c r="Q4" s="469" t="s">
        <v>906</v>
      </c>
      <c r="R4" s="469" t="s">
        <v>923</v>
      </c>
      <c r="S4" s="469" t="s">
        <v>908</v>
      </c>
      <c r="T4" s="469" t="s">
        <v>909</v>
      </c>
      <c r="U4" s="470" t="s">
        <v>18</v>
      </c>
      <c r="V4" s="469" t="s">
        <v>910</v>
      </c>
      <c r="W4" s="469" t="s">
        <v>924</v>
      </c>
      <c r="X4" s="469" t="s">
        <v>912</v>
      </c>
      <c r="Y4" s="471" t="s">
        <v>19</v>
      </c>
      <c r="Z4" s="340"/>
      <c r="AA4" s="472" t="s">
        <v>20</v>
      </c>
      <c r="AB4" s="128"/>
      <c r="AC4" s="452"/>
      <c r="AD4" s="453"/>
      <c r="AE4" s="132"/>
      <c r="AF4" s="132"/>
      <c r="AG4" s="453"/>
      <c r="AH4" s="120"/>
      <c r="AI4" s="120"/>
      <c r="AJ4" s="120"/>
      <c r="AK4" s="120"/>
      <c r="AL4" s="120"/>
      <c r="AM4" s="120"/>
    </row>
    <row r="5" spans="1:39" s="3" customFormat="1" ht="24.75" customHeight="1" x14ac:dyDescent="0.25">
      <c r="A5" s="135">
        <v>1</v>
      </c>
      <c r="B5" s="135">
        <v>2</v>
      </c>
      <c r="C5" s="135">
        <v>3</v>
      </c>
      <c r="D5" s="136" t="s">
        <v>21</v>
      </c>
      <c r="E5" s="137" t="s">
        <v>22</v>
      </c>
      <c r="F5" s="137" t="s">
        <v>23</v>
      </c>
      <c r="G5" s="473">
        <v>4</v>
      </c>
      <c r="H5" s="474" t="s">
        <v>24</v>
      </c>
      <c r="I5" s="144">
        <v>5</v>
      </c>
      <c r="J5" s="144">
        <v>6</v>
      </c>
      <c r="K5" s="144">
        <v>7</v>
      </c>
      <c r="L5" s="475"/>
      <c r="M5" s="476">
        <v>8</v>
      </c>
      <c r="N5" s="477" t="s">
        <v>25</v>
      </c>
      <c r="O5" s="478">
        <v>9</v>
      </c>
      <c r="P5" s="479" t="s">
        <v>26</v>
      </c>
      <c r="Q5" s="480">
        <v>10</v>
      </c>
      <c r="R5" s="480">
        <v>11</v>
      </c>
      <c r="S5" s="480">
        <v>12</v>
      </c>
      <c r="T5" s="480">
        <v>13</v>
      </c>
      <c r="U5" s="481"/>
      <c r="V5" s="480">
        <v>14</v>
      </c>
      <c r="W5" s="480">
        <v>15</v>
      </c>
      <c r="X5" s="480" t="s">
        <v>27</v>
      </c>
      <c r="Y5" s="474">
        <v>0</v>
      </c>
      <c r="Z5" s="343">
        <v>3</v>
      </c>
      <c r="AA5" s="144">
        <v>17</v>
      </c>
      <c r="AB5" s="145">
        <v>18</v>
      </c>
      <c r="AC5" s="482">
        <v>19</v>
      </c>
      <c r="AD5" s="144">
        <v>20</v>
      </c>
      <c r="AE5" s="148">
        <v>21</v>
      </c>
      <c r="AF5" s="148">
        <v>22</v>
      </c>
      <c r="AG5" s="120">
        <v>23</v>
      </c>
      <c r="AH5" s="120"/>
      <c r="AI5" s="120"/>
      <c r="AJ5" s="120"/>
      <c r="AK5" s="120"/>
      <c r="AL5" s="120"/>
      <c r="AM5" s="120"/>
    </row>
    <row r="6" spans="1:39" ht="24.75" customHeight="1" x14ac:dyDescent="0.25">
      <c r="A6" s="483" t="s">
        <v>236</v>
      </c>
      <c r="B6" s="484" t="s">
        <v>237</v>
      </c>
      <c r="C6" s="485">
        <f t="shared" ref="C6:J6" si="0">C7+C71</f>
        <v>23821.599999999999</v>
      </c>
      <c r="D6" s="485">
        <f t="shared" si="0"/>
        <v>14005.6</v>
      </c>
      <c r="E6" s="485">
        <f t="shared" si="0"/>
        <v>292.2</v>
      </c>
      <c r="F6" s="485">
        <f t="shared" si="0"/>
        <v>4433.2999999999993</v>
      </c>
      <c r="G6" s="485">
        <f t="shared" si="0"/>
        <v>0</v>
      </c>
      <c r="H6" s="485">
        <f t="shared" si="0"/>
        <v>0</v>
      </c>
      <c r="I6" s="485">
        <f t="shared" si="0"/>
        <v>0</v>
      </c>
      <c r="J6" s="485">
        <f t="shared" si="0"/>
        <v>0</v>
      </c>
      <c r="K6" s="485"/>
      <c r="L6" s="485">
        <f t="shared" ref="L6:AB6" si="1">L7+L71</f>
        <v>0</v>
      </c>
      <c r="M6" s="485">
        <f>M7+M71</f>
        <v>16729.399999999998</v>
      </c>
      <c r="N6" s="486">
        <f t="shared" si="1"/>
        <v>867.59999999999968</v>
      </c>
      <c r="O6" s="485">
        <f t="shared" si="1"/>
        <v>289.5</v>
      </c>
      <c r="P6" s="485">
        <f t="shared" si="1"/>
        <v>0</v>
      </c>
      <c r="Q6" s="485">
        <f t="shared" si="1"/>
        <v>0</v>
      </c>
      <c r="R6" s="485">
        <f t="shared" si="1"/>
        <v>5295.4999999999991</v>
      </c>
      <c r="S6" s="485">
        <f t="shared" si="1"/>
        <v>654.70000000000005</v>
      </c>
      <c r="T6" s="485">
        <f t="shared" si="1"/>
        <v>244.90000000000003</v>
      </c>
      <c r="U6" s="485">
        <f t="shared" si="1"/>
        <v>6195.1</v>
      </c>
      <c r="V6" s="485">
        <f t="shared" si="1"/>
        <v>38</v>
      </c>
      <c r="W6" s="485">
        <f t="shared" si="1"/>
        <v>2159.6999999999998</v>
      </c>
      <c r="X6" s="485">
        <f t="shared" si="1"/>
        <v>0</v>
      </c>
      <c r="Y6" s="485">
        <f t="shared" si="1"/>
        <v>0</v>
      </c>
      <c r="Z6" s="487">
        <f t="shared" si="1"/>
        <v>25411.7</v>
      </c>
      <c r="AA6" s="485">
        <f t="shared" si="1"/>
        <v>0</v>
      </c>
      <c r="AB6" s="485">
        <f t="shared" si="1"/>
        <v>3008.6</v>
      </c>
      <c r="AC6" s="488"/>
      <c r="AD6" s="485">
        <f>AD7+AD71</f>
        <v>28420.300000000003</v>
      </c>
      <c r="AE6" s="485">
        <f>AE7+AE71</f>
        <v>153.39999999999998</v>
      </c>
      <c r="AF6" s="485"/>
      <c r="AG6" s="485">
        <f>AG7+AG71</f>
        <v>28573.7</v>
      </c>
      <c r="AH6" s="25"/>
      <c r="AI6" s="25"/>
      <c r="AJ6" s="25"/>
      <c r="AK6" s="25"/>
      <c r="AL6" s="25"/>
      <c r="AM6" s="25"/>
    </row>
    <row r="7" spans="1:39" s="10" customFormat="1" ht="24.75" customHeight="1" x14ac:dyDescent="0.25">
      <c r="A7" s="489" t="s">
        <v>238</v>
      </c>
      <c r="B7" s="490" t="s">
        <v>239</v>
      </c>
      <c r="C7" s="491">
        <f t="shared" ref="C7:J7" si="2">C8+C22+C28+C46+C63</f>
        <v>13226.9</v>
      </c>
      <c r="D7" s="491">
        <f t="shared" si="2"/>
        <v>7596.1</v>
      </c>
      <c r="E7" s="491">
        <f t="shared" si="2"/>
        <v>32.200000000000003</v>
      </c>
      <c r="F7" s="491">
        <f t="shared" si="2"/>
        <v>1034.4000000000001</v>
      </c>
      <c r="G7" s="491">
        <f t="shared" si="2"/>
        <v>0</v>
      </c>
      <c r="H7" s="491">
        <f t="shared" si="2"/>
        <v>0</v>
      </c>
      <c r="I7" s="491">
        <f t="shared" si="2"/>
        <v>0</v>
      </c>
      <c r="J7" s="491">
        <f t="shared" si="2"/>
        <v>0</v>
      </c>
      <c r="K7" s="491"/>
      <c r="L7" s="491">
        <f t="shared" ref="L7:AB7" si="3">L8+L22+L28+L46+L63</f>
        <v>0</v>
      </c>
      <c r="M7" s="491">
        <f>M8+M22+M28+M46+M63</f>
        <v>9220</v>
      </c>
      <c r="N7" s="492">
        <f t="shared" si="3"/>
        <v>1497.6</v>
      </c>
      <c r="O7" s="491">
        <f t="shared" si="3"/>
        <v>39.5</v>
      </c>
      <c r="P7" s="491">
        <f t="shared" si="3"/>
        <v>0</v>
      </c>
      <c r="Q7" s="491">
        <f t="shared" si="3"/>
        <v>0</v>
      </c>
      <c r="R7" s="491">
        <f t="shared" si="3"/>
        <v>5168.5999999999995</v>
      </c>
      <c r="S7" s="491">
        <f t="shared" si="3"/>
        <v>639.5</v>
      </c>
      <c r="T7" s="491">
        <f t="shared" si="3"/>
        <v>244.90000000000003</v>
      </c>
      <c r="U7" s="491">
        <f t="shared" si="3"/>
        <v>6053</v>
      </c>
      <c r="V7" s="491">
        <f t="shared" si="3"/>
        <v>38</v>
      </c>
      <c r="W7" s="491">
        <f t="shared" si="3"/>
        <v>153.6</v>
      </c>
      <c r="X7" s="491">
        <f t="shared" si="3"/>
        <v>0</v>
      </c>
      <c r="Y7" s="491">
        <f t="shared" si="3"/>
        <v>0</v>
      </c>
      <c r="Z7" s="493">
        <f t="shared" si="3"/>
        <v>15504.100000000002</v>
      </c>
      <c r="AA7" s="491">
        <f t="shared" si="3"/>
        <v>0</v>
      </c>
      <c r="AB7" s="491">
        <f t="shared" si="3"/>
        <v>1441.1</v>
      </c>
      <c r="AC7" s="494"/>
      <c r="AD7" s="491">
        <f>AD8+AD22+AD28+AD46+AD63</f>
        <v>16945.200000000004</v>
      </c>
      <c r="AE7" s="491">
        <f>AE8+AE22+AE28+AE46+AE63</f>
        <v>153.39999999999998</v>
      </c>
      <c r="AF7" s="491"/>
      <c r="AG7" s="491">
        <f>AG8+AG22+AG28+AG46+AG63</f>
        <v>17098.600000000002</v>
      </c>
      <c r="AH7" s="354"/>
      <c r="AI7" s="354"/>
      <c r="AJ7" s="354"/>
      <c r="AK7" s="354"/>
      <c r="AL7" s="354"/>
      <c r="AM7" s="354"/>
    </row>
    <row r="8" spans="1:39" s="16" customFormat="1" ht="24.75" customHeight="1" x14ac:dyDescent="0.25">
      <c r="A8" s="495" t="s">
        <v>240</v>
      </c>
      <c r="B8" s="496" t="s">
        <v>241</v>
      </c>
      <c r="C8" s="497">
        <f>C9+C10+C11+C12+C13+C14+C15+C16+C17+C18+C19+C20+C21</f>
        <v>1116.2</v>
      </c>
      <c r="D8" s="497">
        <f t="shared" ref="D8:AG8" si="4">D9+D10+D11+D12+D13+D14+D15+D16+D17+D18+D19+D20+D21</f>
        <v>358.4</v>
      </c>
      <c r="E8" s="497">
        <f t="shared" si="4"/>
        <v>6.5</v>
      </c>
      <c r="F8" s="497">
        <f t="shared" si="4"/>
        <v>119.9</v>
      </c>
      <c r="G8" s="497">
        <f t="shared" si="4"/>
        <v>0</v>
      </c>
      <c r="H8" s="497">
        <f t="shared" si="4"/>
        <v>0</v>
      </c>
      <c r="I8" s="497">
        <f t="shared" si="4"/>
        <v>0</v>
      </c>
      <c r="J8" s="497">
        <f t="shared" si="4"/>
        <v>0</v>
      </c>
      <c r="K8" s="497"/>
      <c r="L8" s="497">
        <f t="shared" si="4"/>
        <v>0</v>
      </c>
      <c r="M8" s="497">
        <f>M9+M10+M11+M12+M13+M14+M15+M16+M17+M18+M19+M20+M21</f>
        <v>420.3</v>
      </c>
      <c r="N8" s="498">
        <f t="shared" si="4"/>
        <v>61.900000000000013</v>
      </c>
      <c r="O8" s="497">
        <f t="shared" si="4"/>
        <v>12.5</v>
      </c>
      <c r="P8" s="497">
        <f t="shared" si="4"/>
        <v>0</v>
      </c>
      <c r="Q8" s="497">
        <f t="shared" si="4"/>
        <v>0</v>
      </c>
      <c r="R8" s="497">
        <f t="shared" si="4"/>
        <v>558.40000000000009</v>
      </c>
      <c r="S8" s="497">
        <f t="shared" si="4"/>
        <v>0</v>
      </c>
      <c r="T8" s="497">
        <f t="shared" si="4"/>
        <v>141.4</v>
      </c>
      <c r="U8" s="497">
        <f t="shared" si="4"/>
        <v>699.80000000000007</v>
      </c>
      <c r="V8" s="497">
        <f t="shared" si="4"/>
        <v>38</v>
      </c>
      <c r="W8" s="497">
        <f t="shared" si="4"/>
        <v>3</v>
      </c>
      <c r="X8" s="497">
        <f t="shared" si="4"/>
        <v>0</v>
      </c>
      <c r="Y8" s="497">
        <f t="shared" si="4"/>
        <v>0</v>
      </c>
      <c r="Z8" s="499">
        <f t="shared" si="4"/>
        <v>1173.6000000000001</v>
      </c>
      <c r="AA8" s="497">
        <f t="shared" si="4"/>
        <v>0</v>
      </c>
      <c r="AB8" s="497">
        <f t="shared" si="4"/>
        <v>477.6</v>
      </c>
      <c r="AC8" s="500"/>
      <c r="AD8" s="497">
        <f t="shared" si="4"/>
        <v>1651.2</v>
      </c>
      <c r="AE8" s="497">
        <f t="shared" si="4"/>
        <v>43.399999999999977</v>
      </c>
      <c r="AF8" s="497"/>
      <c r="AG8" s="497">
        <f t="shared" si="4"/>
        <v>1694.6000000000001</v>
      </c>
      <c r="AH8" s="501"/>
      <c r="AI8" s="501"/>
      <c r="AJ8" s="501"/>
      <c r="AK8" s="501"/>
      <c r="AL8" s="501"/>
      <c r="AM8" s="501"/>
    </row>
    <row r="9" spans="1:39" s="10" customFormat="1" ht="24.75" customHeight="1" x14ac:dyDescent="0.25">
      <c r="A9" s="363" t="s">
        <v>242</v>
      </c>
      <c r="B9" s="364" t="s">
        <v>243</v>
      </c>
      <c r="C9" s="502">
        <v>148</v>
      </c>
      <c r="D9" s="503"/>
      <c r="E9" s="503">
        <v>4.5</v>
      </c>
      <c r="F9" s="503">
        <v>3</v>
      </c>
      <c r="G9" s="503"/>
      <c r="H9" s="503"/>
      <c r="I9" s="503"/>
      <c r="J9" s="504"/>
      <c r="K9" s="505"/>
      <c r="L9" s="506"/>
      <c r="M9" s="507"/>
      <c r="N9" s="508">
        <f>M9-D9</f>
        <v>0</v>
      </c>
      <c r="O9" s="509">
        <v>4.5</v>
      </c>
      <c r="P9" s="510"/>
      <c r="Q9" s="92"/>
      <c r="R9" s="511">
        <v>138.5</v>
      </c>
      <c r="S9" s="92"/>
      <c r="T9" s="92"/>
      <c r="U9" s="512">
        <f t="shared" ref="U9:U77" si="5">Q9+R9+S9+T9</f>
        <v>138.5</v>
      </c>
      <c r="V9" s="513"/>
      <c r="W9" s="513">
        <v>3</v>
      </c>
      <c r="X9" s="513"/>
      <c r="Y9" s="513"/>
      <c r="Z9" s="514">
        <f t="shared" ref="Z9:Z76" si="6">M9+O9+U9+V9+W9+X9</f>
        <v>146</v>
      </c>
      <c r="AA9" s="515"/>
      <c r="AB9" s="516"/>
      <c r="AC9" s="517"/>
      <c r="AD9" s="518">
        <f t="shared" ref="AD9:AD77" si="7">Z9+AB9</f>
        <v>146</v>
      </c>
      <c r="AE9" s="519"/>
      <c r="AF9" s="520"/>
      <c r="AG9" s="518">
        <f t="shared" ref="AG9:AG77" si="8">AD9+AE9</f>
        <v>146</v>
      </c>
      <c r="AH9" s="354"/>
      <c r="AI9" s="354"/>
      <c r="AJ9" s="354"/>
      <c r="AK9" s="354"/>
      <c r="AL9" s="354"/>
      <c r="AM9" s="354"/>
    </row>
    <row r="10" spans="1:39" ht="24.75" customHeight="1" x14ac:dyDescent="0.25">
      <c r="A10" s="363" t="s">
        <v>244</v>
      </c>
      <c r="B10" s="364" t="s">
        <v>245</v>
      </c>
      <c r="C10" s="502">
        <v>329.6</v>
      </c>
      <c r="D10" s="503">
        <v>2</v>
      </c>
      <c r="E10" s="503"/>
      <c r="F10" s="503"/>
      <c r="G10" s="503"/>
      <c r="H10" s="503"/>
      <c r="I10" s="503"/>
      <c r="J10" s="504"/>
      <c r="K10" s="521"/>
      <c r="L10" s="503"/>
      <c r="M10" s="522"/>
      <c r="N10" s="508">
        <f t="shared" ref="N10:N27" si="9">M10-D10</f>
        <v>-2</v>
      </c>
      <c r="O10" s="509"/>
      <c r="P10" s="510"/>
      <c r="Q10" s="511"/>
      <c r="R10" s="511">
        <v>320.2</v>
      </c>
      <c r="S10" s="511"/>
      <c r="T10" s="511"/>
      <c r="U10" s="512">
        <f t="shared" si="5"/>
        <v>320.2</v>
      </c>
      <c r="V10" s="513"/>
      <c r="W10" s="513"/>
      <c r="X10" s="513"/>
      <c r="Y10" s="513"/>
      <c r="Z10" s="514">
        <f t="shared" si="6"/>
        <v>320.2</v>
      </c>
      <c r="AA10" s="515"/>
      <c r="AB10" s="523"/>
      <c r="AC10" s="524"/>
      <c r="AD10" s="518">
        <f t="shared" si="7"/>
        <v>320.2</v>
      </c>
      <c r="AE10" s="519"/>
      <c r="AF10" s="520"/>
      <c r="AG10" s="518">
        <f t="shared" si="8"/>
        <v>320.2</v>
      </c>
      <c r="AH10" s="25"/>
      <c r="AI10" s="25"/>
      <c r="AJ10" s="25"/>
      <c r="AK10" s="25"/>
      <c r="AL10" s="25"/>
      <c r="AM10" s="25"/>
    </row>
    <row r="11" spans="1:39" ht="24.75" customHeight="1" x14ac:dyDescent="0.25">
      <c r="A11" s="363" t="s">
        <v>246</v>
      </c>
      <c r="B11" s="364" t="s">
        <v>247</v>
      </c>
      <c r="C11" s="502">
        <v>77.3</v>
      </c>
      <c r="D11" s="503">
        <v>10</v>
      </c>
      <c r="E11" s="503">
        <v>2</v>
      </c>
      <c r="F11" s="503">
        <v>31.3</v>
      </c>
      <c r="G11" s="503"/>
      <c r="H11" s="503"/>
      <c r="I11" s="503"/>
      <c r="J11" s="504"/>
      <c r="K11" s="525" t="s">
        <v>248</v>
      </c>
      <c r="L11" s="506"/>
      <c r="M11" s="507">
        <v>10</v>
      </c>
      <c r="N11" s="508">
        <f t="shared" si="9"/>
        <v>0</v>
      </c>
      <c r="O11" s="509">
        <v>8</v>
      </c>
      <c r="P11" s="510"/>
      <c r="Q11" s="92"/>
      <c r="R11" s="92"/>
      <c r="S11" s="92"/>
      <c r="T11" s="92"/>
      <c r="U11" s="512">
        <f t="shared" si="5"/>
        <v>0</v>
      </c>
      <c r="V11" s="513">
        <v>38</v>
      </c>
      <c r="W11" s="513"/>
      <c r="X11" s="513"/>
      <c r="Y11" s="513"/>
      <c r="Z11" s="514">
        <f t="shared" si="6"/>
        <v>56</v>
      </c>
      <c r="AA11" s="515"/>
      <c r="AB11" s="523"/>
      <c r="AC11" s="526"/>
      <c r="AD11" s="518">
        <f t="shared" si="7"/>
        <v>56</v>
      </c>
      <c r="AE11" s="519"/>
      <c r="AF11" s="520"/>
      <c r="AG11" s="518">
        <f t="shared" si="8"/>
        <v>56</v>
      </c>
      <c r="AH11" s="25"/>
      <c r="AI11" s="25"/>
      <c r="AJ11" s="25"/>
      <c r="AK11" s="25"/>
      <c r="AL11" s="25"/>
      <c r="AM11" s="25"/>
    </row>
    <row r="12" spans="1:39" s="17" customFormat="1" ht="24.75" hidden="1" customHeight="1" x14ac:dyDescent="0.25">
      <c r="A12" s="363" t="s">
        <v>249</v>
      </c>
      <c r="B12" s="364" t="s">
        <v>250</v>
      </c>
      <c r="C12" s="527">
        <v>0</v>
      </c>
      <c r="D12" s="527">
        <v>0</v>
      </c>
      <c r="E12" s="527"/>
      <c r="F12" s="527">
        <v>0</v>
      </c>
      <c r="G12" s="527"/>
      <c r="H12" s="527"/>
      <c r="I12" s="527"/>
      <c r="J12" s="527"/>
      <c r="K12" s="525"/>
      <c r="L12" s="513"/>
      <c r="M12" s="513"/>
      <c r="N12" s="508">
        <f t="shared" si="9"/>
        <v>0</v>
      </c>
      <c r="O12" s="527"/>
      <c r="P12" s="528"/>
      <c r="Q12" s="527"/>
      <c r="R12" s="527"/>
      <c r="S12" s="527"/>
      <c r="T12" s="527"/>
      <c r="U12" s="512">
        <f t="shared" si="5"/>
        <v>0</v>
      </c>
      <c r="V12" s="527"/>
      <c r="W12" s="527"/>
      <c r="X12" s="527"/>
      <c r="Y12" s="527"/>
      <c r="Z12" s="514">
        <f t="shared" si="6"/>
        <v>0</v>
      </c>
      <c r="AA12" s="527"/>
      <c r="AB12" s="529"/>
      <c r="AC12" s="524"/>
      <c r="AD12" s="518">
        <f t="shared" si="7"/>
        <v>0</v>
      </c>
      <c r="AE12" s="519"/>
      <c r="AF12" s="530"/>
      <c r="AG12" s="518">
        <f t="shared" si="8"/>
        <v>0</v>
      </c>
      <c r="AH12" s="531"/>
      <c r="AI12" s="531"/>
      <c r="AJ12" s="531"/>
      <c r="AK12" s="531"/>
      <c r="AL12" s="531"/>
      <c r="AM12" s="531"/>
    </row>
    <row r="13" spans="1:39" s="16" customFormat="1" ht="30" customHeight="1" x14ac:dyDescent="0.25">
      <c r="A13" s="363" t="s">
        <v>251</v>
      </c>
      <c r="B13" s="364" t="s">
        <v>252</v>
      </c>
      <c r="C13" s="513">
        <v>111.6</v>
      </c>
      <c r="D13" s="513"/>
      <c r="E13" s="513"/>
      <c r="F13" s="513">
        <v>15</v>
      </c>
      <c r="G13" s="513"/>
      <c r="H13" s="513"/>
      <c r="I13" s="513"/>
      <c r="J13" s="513"/>
      <c r="K13" s="525" t="s">
        <v>253</v>
      </c>
      <c r="L13" s="513"/>
      <c r="M13" s="513">
        <v>15</v>
      </c>
      <c r="N13" s="508">
        <f t="shared" si="9"/>
        <v>15</v>
      </c>
      <c r="O13" s="513"/>
      <c r="P13" s="510"/>
      <c r="Q13" s="513"/>
      <c r="R13" s="513">
        <v>96.5</v>
      </c>
      <c r="S13" s="513"/>
      <c r="T13" s="513"/>
      <c r="U13" s="512">
        <f t="shared" si="5"/>
        <v>96.5</v>
      </c>
      <c r="V13" s="513"/>
      <c r="W13" s="513"/>
      <c r="X13" s="513"/>
      <c r="Y13" s="513"/>
      <c r="Z13" s="514">
        <f t="shared" si="6"/>
        <v>111.5</v>
      </c>
      <c r="AA13" s="513"/>
      <c r="AB13" s="529"/>
      <c r="AC13" s="524"/>
      <c r="AD13" s="518">
        <f t="shared" si="7"/>
        <v>111.5</v>
      </c>
      <c r="AE13" s="519"/>
      <c r="AF13" s="520"/>
      <c r="AG13" s="518">
        <f t="shared" si="8"/>
        <v>111.5</v>
      </c>
      <c r="AH13" s="501"/>
      <c r="AI13" s="501"/>
      <c r="AJ13" s="501"/>
      <c r="AK13" s="501"/>
      <c r="AL13" s="501"/>
      <c r="AM13" s="501"/>
    </row>
    <row r="14" spans="1:39" ht="24.75" hidden="1" customHeight="1" x14ac:dyDescent="0.25">
      <c r="A14" s="363" t="s">
        <v>254</v>
      </c>
      <c r="B14" s="364" t="s">
        <v>255</v>
      </c>
      <c r="C14" s="502">
        <v>0</v>
      </c>
      <c r="D14" s="511"/>
      <c r="E14" s="511"/>
      <c r="F14" s="511"/>
      <c r="G14" s="511"/>
      <c r="H14" s="511"/>
      <c r="I14" s="511"/>
      <c r="J14" s="511"/>
      <c r="K14" s="505"/>
      <c r="L14" s="92"/>
      <c r="M14" s="532"/>
      <c r="N14" s="508">
        <f t="shared" si="9"/>
        <v>0</v>
      </c>
      <c r="O14" s="511"/>
      <c r="P14" s="510"/>
      <c r="Q14" s="92"/>
      <c r="R14" s="92"/>
      <c r="S14" s="92"/>
      <c r="T14" s="92"/>
      <c r="U14" s="512">
        <f t="shared" si="5"/>
        <v>0</v>
      </c>
      <c r="V14" s="513"/>
      <c r="W14" s="513"/>
      <c r="X14" s="513"/>
      <c r="Y14" s="513"/>
      <c r="Z14" s="514">
        <f t="shared" si="6"/>
        <v>0</v>
      </c>
      <c r="AA14" s="92"/>
      <c r="AB14" s="533"/>
      <c r="AC14" s="526"/>
      <c r="AD14" s="518">
        <f t="shared" si="7"/>
        <v>0</v>
      </c>
      <c r="AE14" s="519"/>
      <c r="AF14" s="520"/>
      <c r="AG14" s="518">
        <f t="shared" si="8"/>
        <v>0</v>
      </c>
      <c r="AH14" s="25"/>
      <c r="AI14" s="25"/>
      <c r="AJ14" s="25"/>
      <c r="AK14" s="25"/>
      <c r="AL14" s="25"/>
      <c r="AM14" s="25"/>
    </row>
    <row r="15" spans="1:39" ht="24.75" customHeight="1" x14ac:dyDescent="0.25">
      <c r="A15" s="363" t="s">
        <v>256</v>
      </c>
      <c r="B15" s="364" t="s">
        <v>257</v>
      </c>
      <c r="C15" s="518">
        <v>30</v>
      </c>
      <c r="D15" s="518">
        <v>30</v>
      </c>
      <c r="E15" s="518"/>
      <c r="F15" s="518"/>
      <c r="G15" s="518"/>
      <c r="H15" s="518"/>
      <c r="I15" s="518"/>
      <c r="J15" s="518"/>
      <c r="K15" s="534" t="s">
        <v>258</v>
      </c>
      <c r="L15" s="518"/>
      <c r="M15" s="518">
        <v>43.2</v>
      </c>
      <c r="N15" s="508">
        <f t="shared" si="9"/>
        <v>13.200000000000003</v>
      </c>
      <c r="O15" s="518"/>
      <c r="P15" s="535"/>
      <c r="Q15" s="518"/>
      <c r="R15" s="518"/>
      <c r="S15" s="518"/>
      <c r="T15" s="518"/>
      <c r="U15" s="512">
        <f t="shared" si="5"/>
        <v>0</v>
      </c>
      <c r="V15" s="518"/>
      <c r="W15" s="518">
        <f>32-32</f>
        <v>0</v>
      </c>
      <c r="X15" s="536"/>
      <c r="Y15" s="536"/>
      <c r="Z15" s="514">
        <f t="shared" si="6"/>
        <v>43.2</v>
      </c>
      <c r="AA15" s="536"/>
      <c r="AB15" s="537"/>
      <c r="AC15" s="538"/>
      <c r="AD15" s="518">
        <f t="shared" si="7"/>
        <v>43.2</v>
      </c>
      <c r="AE15" s="519"/>
      <c r="AF15" s="520"/>
      <c r="AG15" s="518">
        <f t="shared" si="8"/>
        <v>43.2</v>
      </c>
      <c r="AH15" s="25"/>
      <c r="AI15" s="25"/>
      <c r="AJ15" s="25"/>
      <c r="AK15" s="25"/>
      <c r="AL15" s="25"/>
      <c r="AM15" s="25"/>
    </row>
    <row r="16" spans="1:39" s="16" customFormat="1" ht="24.75" customHeight="1" x14ac:dyDescent="0.25">
      <c r="A16" s="363" t="s">
        <v>259</v>
      </c>
      <c r="B16" s="364" t="s">
        <v>260</v>
      </c>
      <c r="C16" s="513">
        <v>40.799999999999997</v>
      </c>
      <c r="D16" s="513">
        <v>40.799999999999997</v>
      </c>
      <c r="E16" s="513"/>
      <c r="F16" s="513"/>
      <c r="G16" s="513"/>
      <c r="H16" s="513"/>
      <c r="I16" s="513"/>
      <c r="J16" s="513"/>
      <c r="K16" s="525" t="s">
        <v>261</v>
      </c>
      <c r="L16" s="513"/>
      <c r="M16" s="539">
        <v>40.799999999999997</v>
      </c>
      <c r="N16" s="508">
        <f t="shared" si="9"/>
        <v>0</v>
      </c>
      <c r="O16" s="511"/>
      <c r="P16" s="510"/>
      <c r="Q16" s="513"/>
      <c r="R16" s="513"/>
      <c r="S16" s="513"/>
      <c r="T16" s="513"/>
      <c r="U16" s="512">
        <f t="shared" si="5"/>
        <v>0</v>
      </c>
      <c r="V16" s="513"/>
      <c r="W16" s="513"/>
      <c r="X16" s="513"/>
      <c r="Y16" s="513"/>
      <c r="Z16" s="514">
        <f t="shared" si="6"/>
        <v>40.799999999999997</v>
      </c>
      <c r="AA16" s="513"/>
      <c r="AB16" s="529"/>
      <c r="AC16" s="524"/>
      <c r="AD16" s="518">
        <f t="shared" si="7"/>
        <v>40.799999999999997</v>
      </c>
      <c r="AE16" s="519">
        <v>20</v>
      </c>
      <c r="AF16" s="530" t="s">
        <v>262</v>
      </c>
      <c r="AG16" s="518">
        <f t="shared" si="8"/>
        <v>60.8</v>
      </c>
      <c r="AH16" s="501"/>
      <c r="AI16" s="501"/>
      <c r="AJ16" s="501"/>
      <c r="AK16" s="501"/>
      <c r="AL16" s="501"/>
      <c r="AM16" s="501"/>
    </row>
    <row r="17" spans="1:39" ht="24.75" customHeight="1" x14ac:dyDescent="0.25">
      <c r="A17" s="363" t="s">
        <v>263</v>
      </c>
      <c r="B17" s="364" t="s">
        <v>264</v>
      </c>
      <c r="C17" s="502">
        <v>295.60000000000002</v>
      </c>
      <c r="D17" s="511">
        <v>245.6</v>
      </c>
      <c r="E17" s="511"/>
      <c r="F17" s="511">
        <v>50</v>
      </c>
      <c r="G17" s="511"/>
      <c r="H17" s="511"/>
      <c r="I17" s="511"/>
      <c r="J17" s="511"/>
      <c r="K17" s="505" t="s">
        <v>265</v>
      </c>
      <c r="L17" s="92"/>
      <c r="M17" s="540">
        <f>322.7-11.4</f>
        <v>311.3</v>
      </c>
      <c r="N17" s="508">
        <f t="shared" si="9"/>
        <v>65.700000000000017</v>
      </c>
      <c r="O17" s="511"/>
      <c r="P17" s="510"/>
      <c r="Q17" s="92"/>
      <c r="R17" s="92"/>
      <c r="S17" s="92"/>
      <c r="T17" s="92"/>
      <c r="U17" s="512">
        <f t="shared" si="5"/>
        <v>0</v>
      </c>
      <c r="V17" s="513"/>
      <c r="W17" s="513"/>
      <c r="X17" s="513"/>
      <c r="Y17" s="513"/>
      <c r="Z17" s="514">
        <f t="shared" si="6"/>
        <v>311.3</v>
      </c>
      <c r="AA17" s="92"/>
      <c r="AB17" s="533">
        <f>299.6+11.4</f>
        <v>311</v>
      </c>
      <c r="AC17" s="541" t="s">
        <v>266</v>
      </c>
      <c r="AD17" s="518">
        <f t="shared" si="7"/>
        <v>622.29999999999995</v>
      </c>
      <c r="AE17" s="519">
        <f>273.4-250</f>
        <v>23.399999999999977</v>
      </c>
      <c r="AF17" s="542" t="s">
        <v>267</v>
      </c>
      <c r="AG17" s="518">
        <f t="shared" si="8"/>
        <v>645.69999999999993</v>
      </c>
      <c r="AH17" s="25"/>
      <c r="AI17" s="25"/>
      <c r="AJ17" s="25"/>
      <c r="AK17" s="25"/>
      <c r="AL17" s="25"/>
      <c r="AM17" s="25"/>
    </row>
    <row r="18" spans="1:39" s="16" customFormat="1" ht="24.75" hidden="1" customHeight="1" x14ac:dyDescent="0.25">
      <c r="A18" s="363" t="s">
        <v>268</v>
      </c>
      <c r="B18" s="364" t="s">
        <v>269</v>
      </c>
      <c r="C18" s="513">
        <v>2.4</v>
      </c>
      <c r="D18" s="513">
        <v>0.4</v>
      </c>
      <c r="E18" s="513"/>
      <c r="F18" s="513">
        <v>2</v>
      </c>
      <c r="G18" s="513"/>
      <c r="H18" s="513"/>
      <c r="I18" s="513"/>
      <c r="J18" s="513"/>
      <c r="K18" s="525"/>
      <c r="L18" s="513"/>
      <c r="M18" s="513"/>
      <c r="N18" s="508">
        <f t="shared" si="9"/>
        <v>-0.4</v>
      </c>
      <c r="O18" s="511"/>
      <c r="P18" s="510"/>
      <c r="Q18" s="513"/>
      <c r="R18" s="513"/>
      <c r="S18" s="513"/>
      <c r="T18" s="513"/>
      <c r="U18" s="512">
        <f t="shared" si="5"/>
        <v>0</v>
      </c>
      <c r="V18" s="513"/>
      <c r="W18" s="513"/>
      <c r="X18" s="513"/>
      <c r="Y18" s="513"/>
      <c r="Z18" s="514">
        <f t="shared" si="6"/>
        <v>0</v>
      </c>
      <c r="AA18" s="513"/>
      <c r="AB18" s="529"/>
      <c r="AC18" s="524"/>
      <c r="AD18" s="518">
        <f t="shared" si="7"/>
        <v>0</v>
      </c>
      <c r="AE18" s="543"/>
      <c r="AF18" s="530"/>
      <c r="AG18" s="518">
        <f t="shared" si="8"/>
        <v>0</v>
      </c>
      <c r="AH18" s="501"/>
      <c r="AI18" s="501"/>
      <c r="AJ18" s="501"/>
      <c r="AK18" s="501"/>
      <c r="AL18" s="501"/>
      <c r="AM18" s="501"/>
    </row>
    <row r="19" spans="1:39" ht="24.75" hidden="1" customHeight="1" x14ac:dyDescent="0.25">
      <c r="A19" s="363" t="s">
        <v>270</v>
      </c>
      <c r="B19" s="364" t="s">
        <v>271</v>
      </c>
      <c r="C19" s="518">
        <v>48.1</v>
      </c>
      <c r="D19" s="518"/>
      <c r="E19" s="518"/>
      <c r="F19" s="502">
        <v>18.600000000000001</v>
      </c>
      <c r="G19" s="518"/>
      <c r="H19" s="518"/>
      <c r="I19" s="518"/>
      <c r="J19" s="518"/>
      <c r="K19" s="544"/>
      <c r="L19" s="518"/>
      <c r="M19" s="518"/>
      <c r="N19" s="508">
        <f t="shared" si="9"/>
        <v>0</v>
      </c>
      <c r="O19" s="518"/>
      <c r="P19" s="535"/>
      <c r="Q19" s="518"/>
      <c r="R19" s="518"/>
      <c r="S19" s="518"/>
      <c r="T19" s="518"/>
      <c r="U19" s="512">
        <f t="shared" si="5"/>
        <v>0</v>
      </c>
      <c r="V19" s="518"/>
      <c r="W19" s="518"/>
      <c r="X19" s="518"/>
      <c r="Y19" s="518"/>
      <c r="Z19" s="514">
        <f t="shared" si="6"/>
        <v>0</v>
      </c>
      <c r="AA19" s="518"/>
      <c r="AB19" s="545"/>
      <c r="AC19" s="524"/>
      <c r="AD19" s="518">
        <f t="shared" si="7"/>
        <v>0</v>
      </c>
      <c r="AE19" s="519"/>
      <c r="AF19" s="520"/>
      <c r="AG19" s="518">
        <f t="shared" si="8"/>
        <v>0</v>
      </c>
      <c r="AH19" s="25"/>
      <c r="AI19" s="25"/>
      <c r="AJ19" s="25"/>
      <c r="AK19" s="25"/>
      <c r="AL19" s="25"/>
      <c r="AM19" s="25"/>
    </row>
    <row r="20" spans="1:39" s="16" customFormat="1" ht="24.75" customHeight="1" x14ac:dyDescent="0.25">
      <c r="A20" s="363" t="s">
        <v>272</v>
      </c>
      <c r="B20" s="364" t="s">
        <v>273</v>
      </c>
      <c r="C20" s="513">
        <v>3.2</v>
      </c>
      <c r="D20" s="513"/>
      <c r="E20" s="513"/>
      <c r="F20" s="513"/>
      <c r="G20" s="513"/>
      <c r="H20" s="513"/>
      <c r="I20" s="513"/>
      <c r="J20" s="513"/>
      <c r="K20" s="525"/>
      <c r="L20" s="513"/>
      <c r="M20" s="513"/>
      <c r="N20" s="508">
        <f t="shared" si="9"/>
        <v>0</v>
      </c>
      <c r="O20" s="511"/>
      <c r="P20" s="510"/>
      <c r="Q20" s="513"/>
      <c r="R20" s="513">
        <v>3.2</v>
      </c>
      <c r="S20" s="513"/>
      <c r="T20" s="513"/>
      <c r="U20" s="512">
        <f t="shared" si="5"/>
        <v>3.2</v>
      </c>
      <c r="V20" s="513"/>
      <c r="W20" s="513"/>
      <c r="X20" s="513"/>
      <c r="Y20" s="513"/>
      <c r="Z20" s="514">
        <f t="shared" si="6"/>
        <v>3.2</v>
      </c>
      <c r="AA20" s="513"/>
      <c r="AB20" s="529"/>
      <c r="AC20" s="524"/>
      <c r="AD20" s="518">
        <f t="shared" si="7"/>
        <v>3.2</v>
      </c>
      <c r="AE20" s="519"/>
      <c r="AF20" s="520"/>
      <c r="AG20" s="518">
        <f t="shared" si="8"/>
        <v>3.2</v>
      </c>
      <c r="AH20" s="501"/>
      <c r="AI20" s="501"/>
      <c r="AJ20" s="501"/>
      <c r="AK20" s="501"/>
      <c r="AL20" s="501"/>
      <c r="AM20" s="501"/>
    </row>
    <row r="21" spans="1:39" s="16" customFormat="1" ht="24.75" customHeight="1" x14ac:dyDescent="0.25">
      <c r="A21" s="363" t="s">
        <v>274</v>
      </c>
      <c r="B21" s="364" t="s">
        <v>275</v>
      </c>
      <c r="C21" s="513">
        <v>29.6</v>
      </c>
      <c r="D21" s="513">
        <v>29.6</v>
      </c>
      <c r="E21" s="513"/>
      <c r="F21" s="513"/>
      <c r="G21" s="513"/>
      <c r="H21" s="513"/>
      <c r="I21" s="513"/>
      <c r="J21" s="513"/>
      <c r="K21" s="534"/>
      <c r="L21" s="539"/>
      <c r="M21" s="539">
        <v>0</v>
      </c>
      <c r="N21" s="508">
        <f t="shared" si="9"/>
        <v>-29.6</v>
      </c>
      <c r="O21" s="511"/>
      <c r="P21" s="510"/>
      <c r="Q21" s="513"/>
      <c r="R21" s="513"/>
      <c r="S21" s="513"/>
      <c r="T21" s="513">
        <v>141.4</v>
      </c>
      <c r="U21" s="512">
        <f t="shared" si="5"/>
        <v>141.4</v>
      </c>
      <c r="V21" s="513"/>
      <c r="W21" s="513"/>
      <c r="X21" s="513"/>
      <c r="Y21" s="513"/>
      <c r="Z21" s="514">
        <f t="shared" si="6"/>
        <v>141.4</v>
      </c>
      <c r="AA21" s="513"/>
      <c r="AB21" s="523">
        <v>166.6</v>
      </c>
      <c r="AC21" s="546" t="s">
        <v>276</v>
      </c>
      <c r="AD21" s="518">
        <f t="shared" si="7"/>
        <v>308</v>
      </c>
      <c r="AE21" s="519"/>
      <c r="AF21" s="520"/>
      <c r="AG21" s="518">
        <f t="shared" si="8"/>
        <v>308</v>
      </c>
      <c r="AH21" s="501"/>
      <c r="AI21" s="501"/>
      <c r="AJ21" s="501"/>
      <c r="AK21" s="501"/>
      <c r="AL21" s="501"/>
      <c r="AM21" s="501"/>
    </row>
    <row r="22" spans="1:39" s="10" customFormat="1" ht="24.75" customHeight="1" x14ac:dyDescent="0.25">
      <c r="A22" s="495" t="s">
        <v>277</v>
      </c>
      <c r="B22" s="496" t="s">
        <v>278</v>
      </c>
      <c r="C22" s="547">
        <f>C23+C24+C25+C26+C27</f>
        <v>887.3</v>
      </c>
      <c r="D22" s="547">
        <f t="shared" ref="D22:J22" si="10">D23+D24+D25+D26+D27</f>
        <v>330</v>
      </c>
      <c r="E22" s="547">
        <f t="shared" si="10"/>
        <v>0</v>
      </c>
      <c r="F22" s="547">
        <f t="shared" si="10"/>
        <v>0</v>
      </c>
      <c r="G22" s="547">
        <f t="shared" si="10"/>
        <v>0</v>
      </c>
      <c r="H22" s="547">
        <f t="shared" si="10"/>
        <v>0</v>
      </c>
      <c r="I22" s="547">
        <f t="shared" si="10"/>
        <v>0</v>
      </c>
      <c r="J22" s="547">
        <f t="shared" si="10"/>
        <v>0</v>
      </c>
      <c r="K22" s="548"/>
      <c r="L22" s="547">
        <f t="shared" ref="L22:AE22" si="11">L23+L24+L25+L26+L27</f>
        <v>0</v>
      </c>
      <c r="M22" s="547">
        <f>M23+M24+M25+M26+M27</f>
        <v>664.69999999999993</v>
      </c>
      <c r="N22" s="549">
        <f t="shared" si="11"/>
        <v>334.70000000000005</v>
      </c>
      <c r="O22" s="547">
        <f t="shared" si="11"/>
        <v>0</v>
      </c>
      <c r="P22" s="547">
        <f t="shared" si="11"/>
        <v>0</v>
      </c>
      <c r="Q22" s="547">
        <f t="shared" si="11"/>
        <v>0</v>
      </c>
      <c r="R22" s="547">
        <f t="shared" si="11"/>
        <v>1073</v>
      </c>
      <c r="S22" s="547">
        <f t="shared" si="11"/>
        <v>257.3</v>
      </c>
      <c r="T22" s="547">
        <f t="shared" si="11"/>
        <v>0</v>
      </c>
      <c r="U22" s="512">
        <f t="shared" si="5"/>
        <v>1330.3</v>
      </c>
      <c r="V22" s="547">
        <f t="shared" si="11"/>
        <v>0</v>
      </c>
      <c r="W22" s="547">
        <f t="shared" si="11"/>
        <v>0</v>
      </c>
      <c r="X22" s="547">
        <f t="shared" si="11"/>
        <v>0</v>
      </c>
      <c r="Y22" s="547">
        <f t="shared" si="11"/>
        <v>0</v>
      </c>
      <c r="Z22" s="499">
        <f t="shared" si="6"/>
        <v>1995</v>
      </c>
      <c r="AA22" s="547">
        <f t="shared" si="11"/>
        <v>0</v>
      </c>
      <c r="AB22" s="545">
        <f t="shared" si="11"/>
        <v>41.3</v>
      </c>
      <c r="AC22" s="524"/>
      <c r="AD22" s="518">
        <f t="shared" si="7"/>
        <v>2036.3</v>
      </c>
      <c r="AE22" s="520">
        <f t="shared" si="11"/>
        <v>4</v>
      </c>
      <c r="AF22" s="520"/>
      <c r="AG22" s="518">
        <f t="shared" si="8"/>
        <v>2040.3</v>
      </c>
      <c r="AH22" s="354"/>
      <c r="AI22" s="354"/>
      <c r="AJ22" s="354"/>
      <c r="AK22" s="354"/>
      <c r="AL22" s="354"/>
      <c r="AM22" s="354"/>
    </row>
    <row r="23" spans="1:39" ht="24.75" customHeight="1" x14ac:dyDescent="0.25">
      <c r="A23" s="363" t="s">
        <v>279</v>
      </c>
      <c r="B23" s="364" t="s">
        <v>280</v>
      </c>
      <c r="C23" s="502">
        <v>218.5</v>
      </c>
      <c r="D23" s="511">
        <v>82</v>
      </c>
      <c r="E23" s="511"/>
      <c r="F23" s="511"/>
      <c r="G23" s="511"/>
      <c r="H23" s="511"/>
      <c r="I23" s="511"/>
      <c r="J23" s="511"/>
      <c r="K23" s="550" t="s">
        <v>281</v>
      </c>
      <c r="L23" s="92"/>
      <c r="M23" s="540">
        <v>63.3</v>
      </c>
      <c r="N23" s="508">
        <f t="shared" si="9"/>
        <v>-18.700000000000003</v>
      </c>
      <c r="O23" s="511"/>
      <c r="P23" s="510"/>
      <c r="Q23" s="92"/>
      <c r="R23" s="92"/>
      <c r="S23" s="92">
        <v>136.5</v>
      </c>
      <c r="T23" s="92"/>
      <c r="U23" s="512">
        <f t="shared" si="5"/>
        <v>136.5</v>
      </c>
      <c r="V23" s="513"/>
      <c r="W23" s="513"/>
      <c r="X23" s="513"/>
      <c r="Y23" s="513"/>
      <c r="Z23" s="514">
        <f t="shared" si="6"/>
        <v>199.8</v>
      </c>
      <c r="AA23" s="92"/>
      <c r="AB23" s="533">
        <v>1.7</v>
      </c>
      <c r="AC23" s="541" t="s">
        <v>282</v>
      </c>
      <c r="AD23" s="518">
        <f t="shared" si="7"/>
        <v>201.5</v>
      </c>
      <c r="AE23" s="519"/>
      <c r="AF23" s="520"/>
      <c r="AG23" s="518">
        <f t="shared" si="8"/>
        <v>201.5</v>
      </c>
      <c r="AH23" s="25"/>
      <c r="AI23" s="25"/>
      <c r="AJ23" s="25"/>
      <c r="AK23" s="25"/>
      <c r="AL23" s="25"/>
      <c r="AM23" s="25"/>
    </row>
    <row r="24" spans="1:39" s="16" customFormat="1" ht="24.75" customHeight="1" x14ac:dyDescent="0.25">
      <c r="A24" s="363" t="s">
        <v>283</v>
      </c>
      <c r="B24" s="364" t="s">
        <v>284</v>
      </c>
      <c r="C24" s="513">
        <v>170.8</v>
      </c>
      <c r="D24" s="513">
        <v>50</v>
      </c>
      <c r="E24" s="513"/>
      <c r="F24" s="513"/>
      <c r="G24" s="513"/>
      <c r="H24" s="513"/>
      <c r="I24" s="513"/>
      <c r="J24" s="513"/>
      <c r="K24" s="551" t="s">
        <v>285</v>
      </c>
      <c r="L24" s="513"/>
      <c r="M24" s="513">
        <v>50</v>
      </c>
      <c r="N24" s="508">
        <f t="shared" si="9"/>
        <v>0</v>
      </c>
      <c r="O24" s="511"/>
      <c r="P24" s="510"/>
      <c r="Q24" s="513"/>
      <c r="R24" s="513"/>
      <c r="S24" s="513">
        <v>120.8</v>
      </c>
      <c r="T24" s="513"/>
      <c r="U24" s="512">
        <f t="shared" si="5"/>
        <v>120.8</v>
      </c>
      <c r="V24" s="513"/>
      <c r="W24" s="513"/>
      <c r="X24" s="513"/>
      <c r="Y24" s="513"/>
      <c r="Z24" s="514">
        <f t="shared" si="6"/>
        <v>170.8</v>
      </c>
      <c r="AA24" s="513"/>
      <c r="AB24" s="529">
        <v>20</v>
      </c>
      <c r="AC24" s="546" t="s">
        <v>286</v>
      </c>
      <c r="AD24" s="518">
        <f t="shared" si="7"/>
        <v>190.8</v>
      </c>
      <c r="AE24" s="519"/>
      <c r="AF24" s="520"/>
      <c r="AG24" s="518">
        <f t="shared" si="8"/>
        <v>190.8</v>
      </c>
      <c r="AH24" s="501"/>
      <c r="AI24" s="501"/>
      <c r="AJ24" s="501"/>
      <c r="AK24" s="501"/>
      <c r="AL24" s="501"/>
      <c r="AM24" s="501"/>
    </row>
    <row r="25" spans="1:39" ht="24.75" hidden="1" customHeight="1" x14ac:dyDescent="0.25">
      <c r="A25" s="363" t="s">
        <v>287</v>
      </c>
      <c r="B25" s="364" t="s">
        <v>288</v>
      </c>
      <c r="C25" s="502">
        <v>0</v>
      </c>
      <c r="D25" s="511"/>
      <c r="E25" s="511"/>
      <c r="F25" s="511"/>
      <c r="G25" s="511"/>
      <c r="H25" s="511"/>
      <c r="I25" s="511"/>
      <c r="J25" s="511"/>
      <c r="K25" s="505"/>
      <c r="L25" s="92"/>
      <c r="M25" s="532"/>
      <c r="N25" s="508">
        <f t="shared" si="9"/>
        <v>0</v>
      </c>
      <c r="O25" s="511"/>
      <c r="P25" s="510"/>
      <c r="Q25" s="92"/>
      <c r="R25" s="92"/>
      <c r="S25" s="92"/>
      <c r="T25" s="92"/>
      <c r="U25" s="512">
        <f t="shared" si="5"/>
        <v>0</v>
      </c>
      <c r="V25" s="513"/>
      <c r="W25" s="513"/>
      <c r="X25" s="513"/>
      <c r="Y25" s="513"/>
      <c r="Z25" s="514">
        <f t="shared" si="6"/>
        <v>0</v>
      </c>
      <c r="AA25" s="92"/>
      <c r="AB25" s="533"/>
      <c r="AC25" s="526"/>
      <c r="AD25" s="518">
        <f t="shared" si="7"/>
        <v>0</v>
      </c>
      <c r="AE25" s="519"/>
      <c r="AF25" s="520"/>
      <c r="AG25" s="518">
        <f t="shared" si="8"/>
        <v>0</v>
      </c>
      <c r="AH25" s="25"/>
      <c r="AI25" s="25"/>
      <c r="AJ25" s="25"/>
      <c r="AK25" s="25"/>
      <c r="AL25" s="25"/>
      <c r="AM25" s="25"/>
    </row>
    <row r="26" spans="1:39" s="16" customFormat="1" ht="24.75" customHeight="1" x14ac:dyDescent="0.25">
      <c r="A26" s="363" t="s">
        <v>289</v>
      </c>
      <c r="B26" s="364" t="s">
        <v>290</v>
      </c>
      <c r="C26" s="513">
        <v>420</v>
      </c>
      <c r="D26" s="513">
        <v>120</v>
      </c>
      <c r="E26" s="513"/>
      <c r="F26" s="513"/>
      <c r="G26" s="513"/>
      <c r="H26" s="513"/>
      <c r="I26" s="513"/>
      <c r="J26" s="513"/>
      <c r="K26" s="550" t="s">
        <v>291</v>
      </c>
      <c r="L26" s="513"/>
      <c r="M26" s="511">
        <f>425+50</f>
        <v>475</v>
      </c>
      <c r="N26" s="508">
        <f t="shared" si="9"/>
        <v>355</v>
      </c>
      <c r="O26" s="511"/>
      <c r="P26" s="510"/>
      <c r="Q26" s="513"/>
      <c r="R26" s="513">
        <v>1073</v>
      </c>
      <c r="S26" s="513"/>
      <c r="T26" s="513"/>
      <c r="U26" s="512">
        <f t="shared" si="5"/>
        <v>1073</v>
      </c>
      <c r="V26" s="513"/>
      <c r="W26" s="513"/>
      <c r="X26" s="513"/>
      <c r="Y26" s="513"/>
      <c r="Z26" s="514">
        <f t="shared" si="6"/>
        <v>1548</v>
      </c>
      <c r="AA26" s="513"/>
      <c r="AB26" s="529">
        <v>0</v>
      </c>
      <c r="AC26" s="552"/>
      <c r="AD26" s="518">
        <f t="shared" si="7"/>
        <v>1548</v>
      </c>
      <c r="AE26" s="519"/>
      <c r="AF26" s="520"/>
      <c r="AG26" s="518">
        <f t="shared" si="8"/>
        <v>1548</v>
      </c>
      <c r="AH26" s="501"/>
      <c r="AI26" s="501"/>
      <c r="AJ26" s="501"/>
      <c r="AK26" s="501"/>
      <c r="AL26" s="501"/>
      <c r="AM26" s="501"/>
    </row>
    <row r="27" spans="1:39" ht="24.75" customHeight="1" x14ac:dyDescent="0.25">
      <c r="A27" s="363" t="s">
        <v>292</v>
      </c>
      <c r="B27" s="364" t="s">
        <v>293</v>
      </c>
      <c r="C27" s="502">
        <v>78</v>
      </c>
      <c r="D27" s="511">
        <v>78</v>
      </c>
      <c r="E27" s="511"/>
      <c r="F27" s="511"/>
      <c r="G27" s="511"/>
      <c r="H27" s="511"/>
      <c r="I27" s="511"/>
      <c r="J27" s="511"/>
      <c r="K27" s="550" t="s">
        <v>294</v>
      </c>
      <c r="L27" s="92"/>
      <c r="M27" s="532">
        <v>76.400000000000006</v>
      </c>
      <c r="N27" s="508">
        <f t="shared" si="9"/>
        <v>-1.5999999999999943</v>
      </c>
      <c r="O27" s="511"/>
      <c r="P27" s="510">
        <f>O27-E27</f>
        <v>0</v>
      </c>
      <c r="Q27" s="92"/>
      <c r="R27" s="92"/>
      <c r="S27" s="92">
        <v>0</v>
      </c>
      <c r="T27" s="92"/>
      <c r="U27" s="512">
        <f t="shared" si="5"/>
        <v>0</v>
      </c>
      <c r="V27" s="513"/>
      <c r="W27" s="513"/>
      <c r="X27" s="513"/>
      <c r="Y27" s="513"/>
      <c r="Z27" s="514">
        <f t="shared" si="6"/>
        <v>76.400000000000006</v>
      </c>
      <c r="AA27" s="92"/>
      <c r="AB27" s="533">
        <v>19.600000000000001</v>
      </c>
      <c r="AC27" s="541" t="s">
        <v>295</v>
      </c>
      <c r="AD27" s="518">
        <f t="shared" si="7"/>
        <v>96</v>
      </c>
      <c r="AE27" s="553">
        <v>4</v>
      </c>
      <c r="AF27" s="530" t="s">
        <v>296</v>
      </c>
      <c r="AG27" s="518">
        <f t="shared" si="8"/>
        <v>100</v>
      </c>
      <c r="AH27" s="25"/>
      <c r="AI27" s="25"/>
      <c r="AJ27" s="25"/>
      <c r="AK27" s="25"/>
      <c r="AL27" s="25"/>
      <c r="AM27" s="25"/>
    </row>
    <row r="28" spans="1:39" s="10" customFormat="1" ht="24.75" customHeight="1" x14ac:dyDescent="0.25">
      <c r="A28" s="495" t="s">
        <v>297</v>
      </c>
      <c r="B28" s="496" t="s">
        <v>298</v>
      </c>
      <c r="C28" s="547">
        <f>C29+C30+C31+C32+C33+C34+C35+C36+C37+C38+C39+C40+C41+C42+C43+C44</f>
        <v>8899.9</v>
      </c>
      <c r="D28" s="547">
        <f t="shared" ref="D28:J28" si="12">D29+D30+D31+D32+D33+D34+D35+D36+D37+D38+D39+D40+D41+D42+D43+D44</f>
        <v>5490.9000000000005</v>
      </c>
      <c r="E28" s="547">
        <f t="shared" si="12"/>
        <v>0</v>
      </c>
      <c r="F28" s="547">
        <f t="shared" si="12"/>
        <v>813.1</v>
      </c>
      <c r="G28" s="547">
        <f t="shared" si="12"/>
        <v>0</v>
      </c>
      <c r="H28" s="547">
        <f t="shared" si="12"/>
        <v>0</v>
      </c>
      <c r="I28" s="547">
        <f t="shared" si="12"/>
        <v>0</v>
      </c>
      <c r="J28" s="547">
        <f t="shared" si="12"/>
        <v>0</v>
      </c>
      <c r="K28" s="548"/>
      <c r="L28" s="547">
        <f t="shared" ref="L28:AE28" si="13">L29+L30+L31+L32+L33+L34+L35+L36+L37+L38+L39+L40+L41+L42+L43+L44</f>
        <v>0</v>
      </c>
      <c r="M28" s="547">
        <f>M29+M30+M31+M32+M33+M34+M35+M36+M37+M38+M39+M40+M41+M42+M43+M44+M45</f>
        <v>6147.3</v>
      </c>
      <c r="N28" s="549">
        <f t="shared" si="13"/>
        <v>711.79999999999984</v>
      </c>
      <c r="O28" s="547">
        <f t="shared" si="13"/>
        <v>0</v>
      </c>
      <c r="P28" s="547">
        <f t="shared" si="13"/>
        <v>0</v>
      </c>
      <c r="Q28" s="547">
        <f t="shared" si="13"/>
        <v>0</v>
      </c>
      <c r="R28" s="547">
        <f t="shared" si="13"/>
        <v>2826</v>
      </c>
      <c r="S28" s="547">
        <f t="shared" si="13"/>
        <v>174.8</v>
      </c>
      <c r="T28" s="547">
        <f>T29+T30+T31+T32+T33+T34+T35+T36+T37+T38+T39+T40+T41+T42+T43+T44+T45</f>
        <v>31.3</v>
      </c>
      <c r="U28" s="512">
        <f>Q28+R28+S28+T28</f>
        <v>3032.1000000000004</v>
      </c>
      <c r="V28" s="547">
        <f t="shared" si="13"/>
        <v>0</v>
      </c>
      <c r="W28" s="547">
        <f>W29+W30+W31+W32+W33+W34+W35+W36+W37+W38+W39+W40+W41+W42+W43+W44+W45</f>
        <v>150.6</v>
      </c>
      <c r="X28" s="547">
        <f t="shared" si="13"/>
        <v>0</v>
      </c>
      <c r="Y28" s="547">
        <f t="shared" si="13"/>
        <v>0</v>
      </c>
      <c r="Z28" s="499">
        <f>M28+O28+U28+V28+W28+X28</f>
        <v>9330.0000000000018</v>
      </c>
      <c r="AA28" s="547">
        <f t="shared" si="13"/>
        <v>0</v>
      </c>
      <c r="AB28" s="545">
        <f t="shared" si="13"/>
        <v>670.2</v>
      </c>
      <c r="AC28" s="524"/>
      <c r="AD28" s="518">
        <f t="shared" si="7"/>
        <v>10000.200000000003</v>
      </c>
      <c r="AE28" s="554">
        <f t="shared" si="13"/>
        <v>0</v>
      </c>
      <c r="AF28" s="520"/>
      <c r="AG28" s="518">
        <f t="shared" si="8"/>
        <v>10000.200000000003</v>
      </c>
      <c r="AH28" s="354"/>
      <c r="AI28" s="354"/>
      <c r="AJ28" s="354"/>
      <c r="AK28" s="354"/>
      <c r="AL28" s="354"/>
      <c r="AM28" s="354"/>
    </row>
    <row r="29" spans="1:39" ht="24.75" customHeight="1" x14ac:dyDescent="0.25">
      <c r="A29" s="363" t="s">
        <v>299</v>
      </c>
      <c r="B29" s="364" t="s">
        <v>300</v>
      </c>
      <c r="C29" s="502">
        <v>1740</v>
      </c>
      <c r="D29" s="511">
        <v>1680</v>
      </c>
      <c r="E29" s="511"/>
      <c r="F29" s="511">
        <v>60</v>
      </c>
      <c r="G29" s="511"/>
      <c r="H29" s="511"/>
      <c r="I29" s="511"/>
      <c r="J29" s="511"/>
      <c r="K29" s="550" t="s">
        <v>301</v>
      </c>
      <c r="L29" s="92"/>
      <c r="M29" s="511">
        <f>1750+600</f>
        <v>2350</v>
      </c>
      <c r="N29" s="508">
        <f>M29-D29</f>
        <v>670</v>
      </c>
      <c r="O29" s="511"/>
      <c r="P29" s="510">
        <f>O29-E29</f>
        <v>0</v>
      </c>
      <c r="Q29" s="92"/>
      <c r="R29" s="92"/>
      <c r="S29" s="92"/>
      <c r="T29" s="92"/>
      <c r="U29" s="512">
        <f t="shared" si="5"/>
        <v>0</v>
      </c>
      <c r="V29" s="513"/>
      <c r="W29" s="513"/>
      <c r="X29" s="513"/>
      <c r="Y29" s="513"/>
      <c r="Z29" s="514">
        <f t="shared" si="6"/>
        <v>2350</v>
      </c>
      <c r="AA29" s="92"/>
      <c r="AB29" s="555">
        <f>820-600</f>
        <v>220</v>
      </c>
      <c r="AC29" s="526" t="s">
        <v>302</v>
      </c>
      <c r="AD29" s="518">
        <f t="shared" si="7"/>
        <v>2570</v>
      </c>
      <c r="AE29" s="554"/>
      <c r="AF29" s="520"/>
      <c r="AG29" s="518">
        <f t="shared" si="8"/>
        <v>2570</v>
      </c>
      <c r="AH29" s="25"/>
      <c r="AI29" s="25"/>
      <c r="AJ29" s="25"/>
      <c r="AK29" s="25"/>
      <c r="AL29" s="25"/>
      <c r="AM29" s="25"/>
    </row>
    <row r="30" spans="1:39" ht="24.75" customHeight="1" x14ac:dyDescent="0.25">
      <c r="A30" s="363" t="s">
        <v>303</v>
      </c>
      <c r="B30" s="364" t="s">
        <v>304</v>
      </c>
      <c r="C30" s="502">
        <v>50</v>
      </c>
      <c r="D30" s="511">
        <v>50</v>
      </c>
      <c r="E30" s="511"/>
      <c r="F30" s="511"/>
      <c r="G30" s="511"/>
      <c r="H30" s="511"/>
      <c r="I30" s="511"/>
      <c r="J30" s="511"/>
      <c r="K30" s="550" t="s">
        <v>305</v>
      </c>
      <c r="L30" s="92"/>
      <c r="M30" s="532">
        <v>80</v>
      </c>
      <c r="N30" s="508">
        <f t="shared" ref="N30:N68" si="14">M30-D30</f>
        <v>30</v>
      </c>
      <c r="O30" s="511"/>
      <c r="P30" s="510">
        <f>O30-E30</f>
        <v>0</v>
      </c>
      <c r="Q30" s="92"/>
      <c r="R30" s="92"/>
      <c r="S30" s="92"/>
      <c r="T30" s="92"/>
      <c r="U30" s="512">
        <f t="shared" si="5"/>
        <v>0</v>
      </c>
      <c r="V30" s="513"/>
      <c r="W30" s="513"/>
      <c r="X30" s="513"/>
      <c r="Y30" s="513"/>
      <c r="Z30" s="514">
        <f t="shared" si="6"/>
        <v>80</v>
      </c>
      <c r="AA30" s="92"/>
      <c r="AB30" s="533">
        <v>14</v>
      </c>
      <c r="AC30" s="526" t="s">
        <v>925</v>
      </c>
      <c r="AD30" s="518">
        <f t="shared" si="7"/>
        <v>94</v>
      </c>
      <c r="AE30" s="519"/>
      <c r="AF30" s="520"/>
      <c r="AG30" s="518">
        <f t="shared" si="8"/>
        <v>94</v>
      </c>
      <c r="AH30" s="25"/>
      <c r="AI30" s="25"/>
      <c r="AJ30" s="25"/>
      <c r="AK30" s="25"/>
      <c r="AL30" s="25"/>
      <c r="AM30" s="25"/>
    </row>
    <row r="31" spans="1:39" ht="24.75" customHeight="1" x14ac:dyDescent="0.25">
      <c r="A31" s="363" t="s">
        <v>306</v>
      </c>
      <c r="B31" s="364" t="s">
        <v>307</v>
      </c>
      <c r="C31" s="502">
        <v>1705</v>
      </c>
      <c r="D31" s="511">
        <v>1555</v>
      </c>
      <c r="E31" s="511"/>
      <c r="F31" s="511">
        <v>150</v>
      </c>
      <c r="G31" s="511"/>
      <c r="H31" s="511"/>
      <c r="I31" s="511"/>
      <c r="J31" s="511"/>
      <c r="K31" s="550" t="s">
        <v>308</v>
      </c>
      <c r="L31" s="92"/>
      <c r="M31" s="92">
        <f>702.8+800</f>
        <v>1502.8</v>
      </c>
      <c r="N31" s="508">
        <f t="shared" si="14"/>
        <v>-52.200000000000045</v>
      </c>
      <c r="O31" s="511"/>
      <c r="P31" s="510">
        <f>O31-E31</f>
        <v>0</v>
      </c>
      <c r="Q31" s="92"/>
      <c r="R31" s="92"/>
      <c r="S31" s="92"/>
      <c r="T31" s="92"/>
      <c r="U31" s="512">
        <f t="shared" si="5"/>
        <v>0</v>
      </c>
      <c r="V31" s="513"/>
      <c r="W31" s="513">
        <f>155-155</f>
        <v>0</v>
      </c>
      <c r="X31" s="556"/>
      <c r="Y31" s="556"/>
      <c r="Z31" s="514">
        <f t="shared" si="6"/>
        <v>1502.8</v>
      </c>
      <c r="AA31" s="557"/>
      <c r="AB31" s="558"/>
      <c r="AC31" s="541"/>
      <c r="AD31" s="518">
        <f t="shared" si="7"/>
        <v>1502.8</v>
      </c>
      <c r="AE31" s="520"/>
      <c r="AF31" s="520"/>
      <c r="AG31" s="518">
        <f t="shared" si="8"/>
        <v>1502.8</v>
      </c>
      <c r="AH31" s="25"/>
      <c r="AI31" s="25"/>
      <c r="AJ31" s="25"/>
      <c r="AK31" s="25"/>
      <c r="AL31" s="25"/>
      <c r="AM31" s="25"/>
    </row>
    <row r="32" spans="1:39" s="16" customFormat="1" ht="24.75" customHeight="1" x14ac:dyDescent="0.25">
      <c r="A32" s="363" t="s">
        <v>309</v>
      </c>
      <c r="B32" s="364" t="s">
        <v>310</v>
      </c>
      <c r="C32" s="513">
        <v>376.3</v>
      </c>
      <c r="D32" s="513"/>
      <c r="E32" s="513"/>
      <c r="F32" s="513"/>
      <c r="G32" s="513"/>
      <c r="H32" s="513"/>
      <c r="I32" s="513"/>
      <c r="J32" s="513"/>
      <c r="K32" s="550"/>
      <c r="L32" s="513"/>
      <c r="M32" s="513"/>
      <c r="N32" s="508">
        <f t="shared" si="14"/>
        <v>0</v>
      </c>
      <c r="O32" s="511"/>
      <c r="P32" s="510"/>
      <c r="Q32" s="513"/>
      <c r="R32" s="513">
        <v>398.3</v>
      </c>
      <c r="S32" s="513"/>
      <c r="T32" s="513"/>
      <c r="U32" s="512">
        <f t="shared" si="5"/>
        <v>398.3</v>
      </c>
      <c r="V32" s="513"/>
      <c r="W32" s="513"/>
      <c r="X32" s="513"/>
      <c r="Y32" s="513"/>
      <c r="Z32" s="514">
        <f t="shared" si="6"/>
        <v>398.3</v>
      </c>
      <c r="AA32" s="513"/>
      <c r="AB32" s="529"/>
      <c r="AC32" s="524"/>
      <c r="AD32" s="518">
        <f t="shared" si="7"/>
        <v>398.3</v>
      </c>
      <c r="AE32" s="519"/>
      <c r="AF32" s="520"/>
      <c r="AG32" s="518">
        <f t="shared" si="8"/>
        <v>398.3</v>
      </c>
      <c r="AH32" s="501"/>
      <c r="AI32" s="501"/>
      <c r="AJ32" s="501"/>
      <c r="AK32" s="501"/>
      <c r="AL32" s="501"/>
      <c r="AM32" s="501"/>
    </row>
    <row r="33" spans="1:39" ht="24.75" customHeight="1" x14ac:dyDescent="0.25">
      <c r="A33" s="363" t="s">
        <v>311</v>
      </c>
      <c r="B33" s="364" t="s">
        <v>312</v>
      </c>
      <c r="C33" s="502">
        <v>442.5</v>
      </c>
      <c r="D33" s="511">
        <v>440</v>
      </c>
      <c r="E33" s="511"/>
      <c r="F33" s="511"/>
      <c r="G33" s="511"/>
      <c r="H33" s="511"/>
      <c r="I33" s="511"/>
      <c r="J33" s="511"/>
      <c r="K33" s="550" t="s">
        <v>313</v>
      </c>
      <c r="L33" s="92"/>
      <c r="M33" s="532">
        <v>450</v>
      </c>
      <c r="N33" s="508">
        <f t="shared" si="14"/>
        <v>10</v>
      </c>
      <c r="O33" s="511"/>
      <c r="P33" s="510"/>
      <c r="Q33" s="92"/>
      <c r="R33" s="92">
        <v>2</v>
      </c>
      <c r="S33" s="92"/>
      <c r="T33" s="92"/>
      <c r="U33" s="512">
        <f t="shared" si="5"/>
        <v>2</v>
      </c>
      <c r="V33" s="513"/>
      <c r="W33" s="513"/>
      <c r="X33" s="513"/>
      <c r="Y33" s="513"/>
      <c r="Z33" s="514">
        <f t="shared" si="6"/>
        <v>452</v>
      </c>
      <c r="AA33" s="92"/>
      <c r="AB33" s="533"/>
      <c r="AC33" s="526"/>
      <c r="AD33" s="518">
        <f t="shared" si="7"/>
        <v>452</v>
      </c>
      <c r="AE33" s="519"/>
      <c r="AF33" s="520"/>
      <c r="AG33" s="518">
        <f t="shared" si="8"/>
        <v>452</v>
      </c>
      <c r="AH33" s="25"/>
      <c r="AI33" s="25"/>
      <c r="AJ33" s="25"/>
      <c r="AK33" s="25"/>
      <c r="AL33" s="25"/>
      <c r="AM33" s="25"/>
    </row>
    <row r="34" spans="1:39" ht="24.75" customHeight="1" x14ac:dyDescent="0.25">
      <c r="A34" s="363" t="s">
        <v>314</v>
      </c>
      <c r="B34" s="364" t="s">
        <v>315</v>
      </c>
      <c r="C34" s="502">
        <v>100</v>
      </c>
      <c r="D34" s="511">
        <v>100</v>
      </c>
      <c r="E34" s="511"/>
      <c r="F34" s="511"/>
      <c r="G34" s="511"/>
      <c r="H34" s="511"/>
      <c r="I34" s="511"/>
      <c r="J34" s="511"/>
      <c r="K34" s="550" t="s">
        <v>316</v>
      </c>
      <c r="L34" s="92"/>
      <c r="M34" s="532">
        <v>80</v>
      </c>
      <c r="N34" s="508">
        <f t="shared" si="14"/>
        <v>-20</v>
      </c>
      <c r="O34" s="511"/>
      <c r="P34" s="510"/>
      <c r="Q34" s="92"/>
      <c r="R34" s="92"/>
      <c r="S34" s="92"/>
      <c r="T34" s="92"/>
      <c r="U34" s="512">
        <f t="shared" si="5"/>
        <v>0</v>
      </c>
      <c r="V34" s="513"/>
      <c r="W34" s="513"/>
      <c r="X34" s="513"/>
      <c r="Y34" s="513"/>
      <c r="Z34" s="514">
        <f t="shared" si="6"/>
        <v>80</v>
      </c>
      <c r="AA34" s="92"/>
      <c r="AB34" s="533">
        <v>10</v>
      </c>
      <c r="AC34" s="526" t="s">
        <v>317</v>
      </c>
      <c r="AD34" s="518">
        <f t="shared" si="7"/>
        <v>90</v>
      </c>
      <c r="AE34" s="519"/>
      <c r="AF34" s="520"/>
      <c r="AG34" s="518">
        <f t="shared" si="8"/>
        <v>90</v>
      </c>
      <c r="AH34" s="25"/>
      <c r="AI34" s="25"/>
      <c r="AJ34" s="25"/>
      <c r="AK34" s="25"/>
      <c r="AL34" s="25"/>
      <c r="AM34" s="25"/>
    </row>
    <row r="35" spans="1:39" ht="24.75" customHeight="1" x14ac:dyDescent="0.25">
      <c r="A35" s="363" t="s">
        <v>318</v>
      </c>
      <c r="B35" s="364" t="s">
        <v>319</v>
      </c>
      <c r="C35" s="502">
        <v>958.5</v>
      </c>
      <c r="D35" s="511"/>
      <c r="E35" s="511"/>
      <c r="F35" s="511"/>
      <c r="G35" s="511"/>
      <c r="H35" s="511"/>
      <c r="I35" s="511"/>
      <c r="J35" s="511"/>
      <c r="K35" s="550"/>
      <c r="L35" s="92"/>
      <c r="M35" s="532"/>
      <c r="N35" s="508">
        <f t="shared" si="14"/>
        <v>0</v>
      </c>
      <c r="O35" s="511"/>
      <c r="P35" s="510"/>
      <c r="Q35" s="92"/>
      <c r="R35" s="92">
        <v>1126.2</v>
      </c>
      <c r="S35" s="92"/>
      <c r="T35" s="92"/>
      <c r="U35" s="512">
        <f t="shared" si="5"/>
        <v>1126.2</v>
      </c>
      <c r="V35" s="513"/>
      <c r="W35" s="513"/>
      <c r="X35" s="513"/>
      <c r="Y35" s="513"/>
      <c r="Z35" s="514">
        <f t="shared" si="6"/>
        <v>1126.2</v>
      </c>
      <c r="AA35" s="92"/>
      <c r="AB35" s="533"/>
      <c r="AC35" s="526"/>
      <c r="AD35" s="518">
        <f t="shared" si="7"/>
        <v>1126.2</v>
      </c>
      <c r="AE35" s="519"/>
      <c r="AF35" s="520"/>
      <c r="AG35" s="518">
        <f t="shared" si="8"/>
        <v>1126.2</v>
      </c>
      <c r="AH35" s="25"/>
      <c r="AI35" s="25"/>
      <c r="AJ35" s="25"/>
      <c r="AK35" s="25"/>
      <c r="AL35" s="25"/>
      <c r="AM35" s="25"/>
    </row>
    <row r="36" spans="1:39" ht="24.75" customHeight="1" x14ac:dyDescent="0.25">
      <c r="A36" s="363" t="s">
        <v>320</v>
      </c>
      <c r="B36" s="364" t="s">
        <v>321</v>
      </c>
      <c r="C36" s="502">
        <v>53.2</v>
      </c>
      <c r="D36" s="511"/>
      <c r="E36" s="511"/>
      <c r="F36" s="511"/>
      <c r="G36" s="511"/>
      <c r="H36" s="511"/>
      <c r="I36" s="511"/>
      <c r="J36" s="511"/>
      <c r="K36" s="550"/>
      <c r="L36" s="92"/>
      <c r="M36" s="532"/>
      <c r="N36" s="508">
        <f t="shared" si="14"/>
        <v>0</v>
      </c>
      <c r="O36" s="511"/>
      <c r="P36" s="510"/>
      <c r="Q36" s="92"/>
      <c r="R36" s="92">
        <v>43.4</v>
      </c>
      <c r="S36" s="92"/>
      <c r="T36" s="92"/>
      <c r="U36" s="512">
        <f t="shared" si="5"/>
        <v>43.4</v>
      </c>
      <c r="V36" s="513"/>
      <c r="W36" s="513"/>
      <c r="X36" s="513"/>
      <c r="Y36" s="513"/>
      <c r="Z36" s="514">
        <f t="shared" si="6"/>
        <v>43.4</v>
      </c>
      <c r="AA36" s="92"/>
      <c r="AB36" s="533"/>
      <c r="AC36" s="526"/>
      <c r="AD36" s="518">
        <f t="shared" si="7"/>
        <v>43.4</v>
      </c>
      <c r="AE36" s="519"/>
      <c r="AF36" s="520"/>
      <c r="AG36" s="518">
        <f t="shared" si="8"/>
        <v>43.4</v>
      </c>
      <c r="AH36" s="25"/>
      <c r="AI36" s="25"/>
      <c r="AJ36" s="25"/>
      <c r="AK36" s="25"/>
      <c r="AL36" s="25"/>
      <c r="AM36" s="25"/>
    </row>
    <row r="37" spans="1:39" ht="24.75" customHeight="1" x14ac:dyDescent="0.25">
      <c r="A37" s="363" t="s">
        <v>322</v>
      </c>
      <c r="B37" s="364" t="s">
        <v>323</v>
      </c>
      <c r="C37" s="502">
        <v>10</v>
      </c>
      <c r="D37" s="511">
        <v>10</v>
      </c>
      <c r="E37" s="511"/>
      <c r="F37" s="511"/>
      <c r="G37" s="511"/>
      <c r="H37" s="511"/>
      <c r="I37" s="511"/>
      <c r="J37" s="511"/>
      <c r="K37" s="550" t="s">
        <v>324</v>
      </c>
      <c r="L37" s="92"/>
      <c r="M37" s="532">
        <v>10</v>
      </c>
      <c r="N37" s="508">
        <f t="shared" si="14"/>
        <v>0</v>
      </c>
      <c r="O37" s="511"/>
      <c r="P37" s="510"/>
      <c r="Q37" s="92"/>
      <c r="R37" s="92"/>
      <c r="S37" s="92"/>
      <c r="T37" s="92"/>
      <c r="U37" s="512">
        <f t="shared" si="5"/>
        <v>0</v>
      </c>
      <c r="V37" s="513"/>
      <c r="W37" s="513"/>
      <c r="X37" s="513"/>
      <c r="Y37" s="513"/>
      <c r="Z37" s="514">
        <f t="shared" si="6"/>
        <v>10</v>
      </c>
      <c r="AA37" s="92"/>
      <c r="AB37" s="533">
        <v>5</v>
      </c>
      <c r="AC37" s="526" t="s">
        <v>324</v>
      </c>
      <c r="AD37" s="518">
        <f t="shared" si="7"/>
        <v>15</v>
      </c>
      <c r="AE37" s="519"/>
      <c r="AF37" s="520"/>
      <c r="AG37" s="518">
        <f t="shared" si="8"/>
        <v>15</v>
      </c>
      <c r="AH37" s="25"/>
      <c r="AI37" s="25"/>
      <c r="AJ37" s="25"/>
      <c r="AK37" s="25"/>
      <c r="AL37" s="25"/>
      <c r="AM37" s="25"/>
    </row>
    <row r="38" spans="1:39" s="16" customFormat="1" ht="24.75" customHeight="1" x14ac:dyDescent="0.25">
      <c r="A38" s="363" t="s">
        <v>325</v>
      </c>
      <c r="B38" s="364" t="s">
        <v>326</v>
      </c>
      <c r="C38" s="513">
        <v>87.3</v>
      </c>
      <c r="D38" s="513"/>
      <c r="E38" s="513"/>
      <c r="F38" s="513"/>
      <c r="G38" s="513"/>
      <c r="H38" s="513"/>
      <c r="I38" s="513"/>
      <c r="J38" s="513"/>
      <c r="K38" s="550"/>
      <c r="L38" s="513"/>
      <c r="M38" s="513"/>
      <c r="N38" s="508">
        <f t="shared" si="14"/>
        <v>0</v>
      </c>
      <c r="O38" s="511"/>
      <c r="P38" s="510"/>
      <c r="Q38" s="513"/>
      <c r="R38" s="513">
        <v>76.8</v>
      </c>
      <c r="S38" s="513">
        <v>10.5</v>
      </c>
      <c r="T38" s="513"/>
      <c r="U38" s="512">
        <f t="shared" si="5"/>
        <v>87.3</v>
      </c>
      <c r="V38" s="513"/>
      <c r="W38" s="513"/>
      <c r="X38" s="513"/>
      <c r="Y38" s="513"/>
      <c r="Z38" s="514">
        <f t="shared" si="6"/>
        <v>87.3</v>
      </c>
      <c r="AA38" s="513"/>
      <c r="AB38" s="529"/>
      <c r="AC38" s="524"/>
      <c r="AD38" s="518">
        <f t="shared" si="7"/>
        <v>87.3</v>
      </c>
      <c r="AE38" s="519"/>
      <c r="AF38" s="520"/>
      <c r="AG38" s="518">
        <f t="shared" si="8"/>
        <v>87.3</v>
      </c>
      <c r="AH38" s="501"/>
      <c r="AI38" s="501"/>
      <c r="AJ38" s="501"/>
      <c r="AK38" s="501"/>
      <c r="AL38" s="501"/>
      <c r="AM38" s="501"/>
    </row>
    <row r="39" spans="1:39" ht="24.75" hidden="1" customHeight="1" x14ac:dyDescent="0.25">
      <c r="A39" s="363" t="s">
        <v>327</v>
      </c>
      <c r="B39" s="364" t="s">
        <v>328</v>
      </c>
      <c r="C39" s="502"/>
      <c r="D39" s="511"/>
      <c r="E39" s="511"/>
      <c r="F39" s="511"/>
      <c r="G39" s="511"/>
      <c r="H39" s="511"/>
      <c r="I39" s="511"/>
      <c r="J39" s="511"/>
      <c r="K39" s="550"/>
      <c r="L39" s="92"/>
      <c r="M39" s="532"/>
      <c r="N39" s="508">
        <f t="shared" si="14"/>
        <v>0</v>
      </c>
      <c r="O39" s="511"/>
      <c r="P39" s="510"/>
      <c r="Q39" s="92"/>
      <c r="R39" s="92"/>
      <c r="S39" s="92"/>
      <c r="T39" s="92"/>
      <c r="U39" s="512">
        <f t="shared" si="5"/>
        <v>0</v>
      </c>
      <c r="V39" s="513"/>
      <c r="W39" s="513"/>
      <c r="X39" s="513"/>
      <c r="Y39" s="513"/>
      <c r="Z39" s="514">
        <f t="shared" si="6"/>
        <v>0</v>
      </c>
      <c r="AA39" s="92"/>
      <c r="AB39" s="533"/>
      <c r="AC39" s="526"/>
      <c r="AD39" s="518">
        <f t="shared" si="7"/>
        <v>0</v>
      </c>
      <c r="AE39" s="519"/>
      <c r="AF39" s="520"/>
      <c r="AG39" s="518">
        <f t="shared" si="8"/>
        <v>0</v>
      </c>
      <c r="AH39" s="25"/>
      <c r="AI39" s="25"/>
      <c r="AJ39" s="25"/>
      <c r="AK39" s="25"/>
      <c r="AL39" s="25"/>
      <c r="AM39" s="25"/>
    </row>
    <row r="40" spans="1:39" s="16" customFormat="1" ht="24.75" customHeight="1" x14ac:dyDescent="0.25">
      <c r="A40" s="363" t="s">
        <v>329</v>
      </c>
      <c r="B40" s="364" t="s">
        <v>330</v>
      </c>
      <c r="C40" s="559">
        <v>333.3</v>
      </c>
      <c r="D40" s="559">
        <v>26</v>
      </c>
      <c r="E40" s="559"/>
      <c r="F40" s="559">
        <v>307.3</v>
      </c>
      <c r="G40" s="559"/>
      <c r="H40" s="559"/>
      <c r="I40" s="559"/>
      <c r="J40" s="559"/>
      <c r="K40" s="550" t="s">
        <v>331</v>
      </c>
      <c r="L40" s="559"/>
      <c r="M40" s="559">
        <f>5+21</f>
        <v>26</v>
      </c>
      <c r="N40" s="508">
        <f t="shared" si="14"/>
        <v>0</v>
      </c>
      <c r="O40" s="559"/>
      <c r="P40" s="510"/>
      <c r="Q40" s="559"/>
      <c r="R40" s="559"/>
      <c r="S40" s="559"/>
      <c r="T40" s="559"/>
      <c r="U40" s="512">
        <f t="shared" si="5"/>
        <v>0</v>
      </c>
      <c r="V40" s="513"/>
      <c r="W40" s="513">
        <v>150.6</v>
      </c>
      <c r="X40" s="513"/>
      <c r="Y40" s="513"/>
      <c r="Z40" s="514">
        <f t="shared" si="6"/>
        <v>176.6</v>
      </c>
      <c r="AA40" s="559"/>
      <c r="AB40" s="560">
        <f>121-21</f>
        <v>100</v>
      </c>
      <c r="AC40" s="546" t="s">
        <v>332</v>
      </c>
      <c r="AD40" s="518">
        <f t="shared" si="7"/>
        <v>276.60000000000002</v>
      </c>
      <c r="AE40" s="519"/>
      <c r="AF40" s="520"/>
      <c r="AG40" s="518">
        <f t="shared" si="8"/>
        <v>276.60000000000002</v>
      </c>
      <c r="AH40" s="501"/>
      <c r="AI40" s="501"/>
      <c r="AJ40" s="501"/>
      <c r="AK40" s="501"/>
      <c r="AL40" s="501"/>
      <c r="AM40" s="501"/>
    </row>
    <row r="41" spans="1:39" s="16" customFormat="1" ht="24.75" customHeight="1" x14ac:dyDescent="0.25">
      <c r="A41" s="363" t="s">
        <v>333</v>
      </c>
      <c r="B41" s="364" t="s">
        <v>334</v>
      </c>
      <c r="C41" s="559">
        <v>6.6</v>
      </c>
      <c r="D41" s="559"/>
      <c r="E41" s="559"/>
      <c r="F41" s="559"/>
      <c r="G41" s="559"/>
      <c r="H41" s="559"/>
      <c r="I41" s="559"/>
      <c r="J41" s="559"/>
      <c r="K41" s="550"/>
      <c r="L41" s="559"/>
      <c r="M41" s="559"/>
      <c r="N41" s="508">
        <f t="shared" si="14"/>
        <v>0</v>
      </c>
      <c r="O41" s="559"/>
      <c r="P41" s="510"/>
      <c r="Q41" s="559"/>
      <c r="R41" s="559">
        <v>16</v>
      </c>
      <c r="S41" s="559"/>
      <c r="T41" s="559"/>
      <c r="U41" s="512">
        <f t="shared" si="5"/>
        <v>16</v>
      </c>
      <c r="V41" s="513"/>
      <c r="W41" s="513"/>
      <c r="X41" s="513"/>
      <c r="Y41" s="513"/>
      <c r="Z41" s="514">
        <f t="shared" si="6"/>
        <v>16</v>
      </c>
      <c r="AA41" s="559"/>
      <c r="AB41" s="560"/>
      <c r="AC41" s="524"/>
      <c r="AD41" s="518">
        <f t="shared" si="7"/>
        <v>16</v>
      </c>
      <c r="AE41" s="519"/>
      <c r="AF41" s="520"/>
      <c r="AG41" s="518">
        <f t="shared" si="8"/>
        <v>16</v>
      </c>
      <c r="AH41" s="501"/>
      <c r="AI41" s="501"/>
      <c r="AJ41" s="501"/>
      <c r="AK41" s="501"/>
      <c r="AL41" s="501"/>
      <c r="AM41" s="501"/>
    </row>
    <row r="42" spans="1:39" s="16" customFormat="1" ht="36.75" customHeight="1" x14ac:dyDescent="0.25">
      <c r="A42" s="363" t="s">
        <v>335</v>
      </c>
      <c r="B42" s="364" t="s">
        <v>336</v>
      </c>
      <c r="C42" s="513">
        <f>1528.5+127.2</f>
        <v>1655.7</v>
      </c>
      <c r="D42" s="559">
        <v>651.1</v>
      </c>
      <c r="E42" s="559"/>
      <c r="F42" s="559">
        <v>127.2</v>
      </c>
      <c r="G42" s="559"/>
      <c r="H42" s="559"/>
      <c r="I42" s="559"/>
      <c r="J42" s="559"/>
      <c r="K42" s="561" t="s">
        <v>337</v>
      </c>
      <c r="L42" s="559"/>
      <c r="M42" s="559">
        <f>790.4-128.6</f>
        <v>661.8</v>
      </c>
      <c r="N42" s="562"/>
      <c r="O42" s="559"/>
      <c r="P42" s="510"/>
      <c r="Q42" s="563"/>
      <c r="R42" s="563">
        <v>1163.3</v>
      </c>
      <c r="S42" s="563"/>
      <c r="T42" s="563"/>
      <c r="U42" s="512">
        <f t="shared" si="5"/>
        <v>1163.3</v>
      </c>
      <c r="V42" s="513"/>
      <c r="W42" s="513">
        <f>63.6-63.6</f>
        <v>0</v>
      </c>
      <c r="X42" s="556"/>
      <c r="Y42" s="556"/>
      <c r="Z42" s="514">
        <f t="shared" si="6"/>
        <v>1825.1</v>
      </c>
      <c r="AA42" s="564"/>
      <c r="AB42" s="565">
        <v>128.6</v>
      </c>
      <c r="AC42" s="524" t="s">
        <v>338</v>
      </c>
      <c r="AD42" s="518">
        <f t="shared" si="7"/>
        <v>1953.6999999999998</v>
      </c>
      <c r="AE42" s="520"/>
      <c r="AF42" s="520"/>
      <c r="AG42" s="518">
        <f t="shared" si="8"/>
        <v>1953.6999999999998</v>
      </c>
      <c r="AH42" s="501"/>
      <c r="AI42" s="501"/>
      <c r="AJ42" s="501"/>
      <c r="AK42" s="501"/>
      <c r="AL42" s="501"/>
      <c r="AM42" s="501"/>
    </row>
    <row r="43" spans="1:39" s="16" customFormat="1" ht="24.75" customHeight="1" x14ac:dyDescent="0.25">
      <c r="A43" s="363" t="s">
        <v>339</v>
      </c>
      <c r="B43" s="364" t="s">
        <v>340</v>
      </c>
      <c r="C43" s="559">
        <v>147.4</v>
      </c>
      <c r="D43" s="559"/>
      <c r="E43" s="559"/>
      <c r="F43" s="559"/>
      <c r="G43" s="559"/>
      <c r="H43" s="559"/>
      <c r="I43" s="559"/>
      <c r="J43" s="559"/>
      <c r="K43" s="525"/>
      <c r="L43" s="559"/>
      <c r="M43" s="559"/>
      <c r="N43" s="508">
        <f t="shared" si="14"/>
        <v>0</v>
      </c>
      <c r="O43" s="559"/>
      <c r="P43" s="510"/>
      <c r="Q43" s="559"/>
      <c r="R43" s="559"/>
      <c r="S43" s="559">
        <v>147.4</v>
      </c>
      <c r="T43" s="559"/>
      <c r="U43" s="512">
        <f t="shared" si="5"/>
        <v>147.4</v>
      </c>
      <c r="V43" s="513"/>
      <c r="W43" s="513"/>
      <c r="X43" s="513"/>
      <c r="Y43" s="513"/>
      <c r="Z43" s="514">
        <f t="shared" si="6"/>
        <v>147.4</v>
      </c>
      <c r="AA43" s="559"/>
      <c r="AB43" s="560"/>
      <c r="AC43" s="524"/>
      <c r="AD43" s="518">
        <f t="shared" si="7"/>
        <v>147.4</v>
      </c>
      <c r="AE43" s="519"/>
      <c r="AF43" s="520"/>
      <c r="AG43" s="518">
        <f t="shared" si="8"/>
        <v>147.4</v>
      </c>
      <c r="AH43" s="501"/>
      <c r="AI43" s="501"/>
      <c r="AJ43" s="501"/>
      <c r="AK43" s="501"/>
      <c r="AL43" s="501"/>
      <c r="AM43" s="501"/>
    </row>
    <row r="44" spans="1:39" ht="36.75" customHeight="1" x14ac:dyDescent="0.25">
      <c r="A44" s="363" t="s">
        <v>341</v>
      </c>
      <c r="B44" s="364" t="s">
        <v>342</v>
      </c>
      <c r="C44" s="502">
        <v>1234.0999999999999</v>
      </c>
      <c r="D44" s="511">
        <v>978.8</v>
      </c>
      <c r="E44" s="511"/>
      <c r="F44" s="511">
        <v>168.6</v>
      </c>
      <c r="G44" s="511"/>
      <c r="H44" s="511"/>
      <c r="I44" s="511"/>
      <c r="J44" s="511"/>
      <c r="K44" s="566" t="s">
        <v>343</v>
      </c>
      <c r="L44" s="511"/>
      <c r="M44" s="511">
        <f>1142.3-152.1-3.5</f>
        <v>986.69999999999993</v>
      </c>
      <c r="N44" s="508">
        <v>73.999999999999886</v>
      </c>
      <c r="O44" s="511"/>
      <c r="P44" s="510"/>
      <c r="Q44" s="92"/>
      <c r="R44" s="92"/>
      <c r="S44" s="92">
        <v>16.899999999999999</v>
      </c>
      <c r="T44" s="92"/>
      <c r="U44" s="512">
        <f t="shared" si="5"/>
        <v>16.899999999999999</v>
      </c>
      <c r="V44" s="513"/>
      <c r="W44" s="513">
        <f>84.3-84.3</f>
        <v>0</v>
      </c>
      <c r="X44" s="556"/>
      <c r="Y44" s="556"/>
      <c r="Z44" s="514">
        <f t="shared" si="6"/>
        <v>1003.5999999999999</v>
      </c>
      <c r="AA44" s="557"/>
      <c r="AB44" s="565">
        <f>152.1+3.5+37</f>
        <v>192.6</v>
      </c>
      <c r="AC44" s="524" t="s">
        <v>344</v>
      </c>
      <c r="AD44" s="518">
        <f t="shared" si="7"/>
        <v>1196.1999999999998</v>
      </c>
      <c r="AE44" s="520"/>
      <c r="AF44" s="520"/>
      <c r="AG44" s="518">
        <f t="shared" si="8"/>
        <v>1196.1999999999998</v>
      </c>
      <c r="AH44" s="25"/>
      <c r="AI44" s="25"/>
      <c r="AJ44" s="25"/>
      <c r="AK44" s="25"/>
      <c r="AL44" s="25"/>
      <c r="AM44" s="25"/>
    </row>
    <row r="45" spans="1:39" ht="24.75" customHeight="1" x14ac:dyDescent="0.25">
      <c r="A45" s="363" t="s">
        <v>345</v>
      </c>
      <c r="B45" s="364" t="s">
        <v>346</v>
      </c>
      <c r="C45" s="502"/>
      <c r="D45" s="511"/>
      <c r="E45" s="511"/>
      <c r="F45" s="511"/>
      <c r="G45" s="511"/>
      <c r="H45" s="511"/>
      <c r="I45" s="511"/>
      <c r="J45" s="511"/>
      <c r="K45" s="511"/>
      <c r="L45" s="511"/>
      <c r="M45" s="511"/>
      <c r="N45" s="508"/>
      <c r="O45" s="511"/>
      <c r="P45" s="510"/>
      <c r="Q45" s="92"/>
      <c r="R45" s="92"/>
      <c r="S45" s="92"/>
      <c r="T45" s="92">
        <v>31.3</v>
      </c>
      <c r="U45" s="512">
        <f t="shared" si="5"/>
        <v>31.3</v>
      </c>
      <c r="V45" s="513"/>
      <c r="W45" s="513"/>
      <c r="X45" s="556"/>
      <c r="Y45" s="556"/>
      <c r="Z45" s="514">
        <f t="shared" si="6"/>
        <v>31.3</v>
      </c>
      <c r="AA45" s="557"/>
      <c r="AB45" s="565"/>
      <c r="AC45" s="524"/>
      <c r="AD45" s="518">
        <f t="shared" si="7"/>
        <v>31.3</v>
      </c>
      <c r="AE45" s="520"/>
      <c r="AF45" s="520"/>
      <c r="AG45" s="518">
        <f t="shared" si="8"/>
        <v>31.3</v>
      </c>
      <c r="AH45" s="25"/>
      <c r="AI45" s="25"/>
      <c r="AJ45" s="25"/>
      <c r="AK45" s="25"/>
      <c r="AL45" s="25"/>
      <c r="AM45" s="25"/>
    </row>
    <row r="46" spans="1:39" s="10" customFormat="1" ht="24.75" customHeight="1" x14ac:dyDescent="0.25">
      <c r="A46" s="495" t="s">
        <v>347</v>
      </c>
      <c r="B46" s="496" t="s">
        <v>348</v>
      </c>
      <c r="C46" s="547">
        <f>C47+C48+C49+C50+C51+C52+C53+C54+C55+C56+C57+C58+C59+C60+C61</f>
        <v>2077.6</v>
      </c>
      <c r="D46" s="547">
        <f t="shared" ref="D46:AA46" si="15">D47+D48+D49+D50+D51+D52+D53+D54+D55+D56+D57+D58+D59+D60+D61</f>
        <v>1261.8</v>
      </c>
      <c r="E46" s="547">
        <f t="shared" si="15"/>
        <v>25.7</v>
      </c>
      <c r="F46" s="547">
        <f t="shared" si="15"/>
        <v>101.4</v>
      </c>
      <c r="G46" s="547">
        <f t="shared" si="15"/>
        <v>0</v>
      </c>
      <c r="H46" s="547">
        <f t="shared" si="15"/>
        <v>0</v>
      </c>
      <c r="I46" s="547">
        <f t="shared" si="15"/>
        <v>0</v>
      </c>
      <c r="J46" s="547">
        <f t="shared" si="15"/>
        <v>0</v>
      </c>
      <c r="K46" s="547"/>
      <c r="L46" s="547">
        <f t="shared" si="15"/>
        <v>0</v>
      </c>
      <c r="M46" s="547">
        <f>M47+M48+M49+M50+M51+M52+M53+M54+M55+M56+M57+M58+M59+M60+M61+M62</f>
        <v>1749.7</v>
      </c>
      <c r="N46" s="549">
        <f t="shared" ref="N46:T46" si="16">N47+N48+N49+N50+N51+N52+N53+N54+N55+N56+N57+N58+N59+N60+N61+N62</f>
        <v>389.2000000000001</v>
      </c>
      <c r="O46" s="547">
        <f t="shared" si="16"/>
        <v>27</v>
      </c>
      <c r="P46" s="547">
        <f t="shared" si="16"/>
        <v>0</v>
      </c>
      <c r="Q46" s="547">
        <f t="shared" si="16"/>
        <v>0</v>
      </c>
      <c r="R46" s="547">
        <f t="shared" si="16"/>
        <v>620.29999999999995</v>
      </c>
      <c r="S46" s="547">
        <f t="shared" si="16"/>
        <v>207.4</v>
      </c>
      <c r="T46" s="547">
        <f t="shared" si="16"/>
        <v>72.2</v>
      </c>
      <c r="U46" s="512">
        <f>Q46+R46+S46+T46</f>
        <v>899.9</v>
      </c>
      <c r="V46" s="547">
        <f>V47+V48+V49+V50+V51+V52+V53+V54+V55+V56+V57+V58+V59+V60+V61+V62</f>
        <v>0</v>
      </c>
      <c r="W46" s="547">
        <f>W47+W48+W49+W50+W51+W52+W53+W54+W55+W56+W57+W58+W59+W60+W61+W62</f>
        <v>0</v>
      </c>
      <c r="X46" s="547">
        <f t="shared" si="15"/>
        <v>0</v>
      </c>
      <c r="Y46" s="547">
        <f t="shared" si="15"/>
        <v>0</v>
      </c>
      <c r="Z46" s="499">
        <f t="shared" si="6"/>
        <v>2676.6</v>
      </c>
      <c r="AA46" s="547">
        <f t="shared" si="15"/>
        <v>0</v>
      </c>
      <c r="AB46" s="545">
        <f>AB47+AB48+AB49+AB50+AB51+AB52+AB53+AB54+AB55+AB56+AB57+AB58+AB59+AB60+AB61+AB62</f>
        <v>222.00000000000003</v>
      </c>
      <c r="AC46" s="567"/>
      <c r="AD46" s="518">
        <f t="shared" si="7"/>
        <v>2898.6</v>
      </c>
      <c r="AE46" s="520">
        <f>AE47+AE48+AE49+AE50+AE51+AE52+AE53+AE54+AE55+AE56+AE57+AE58+AE59+AE60+AE61+AE62</f>
        <v>31</v>
      </c>
      <c r="AF46" s="520" t="e">
        <f>AF47+AF48+AF49+AF50+AF51+AF52+AF53+AF54+AF55+AF56+AF57+AF58+AF59+AF60+AF61+AF62</f>
        <v>#VALUE!</v>
      </c>
      <c r="AG46" s="518">
        <f t="shared" si="8"/>
        <v>2929.6</v>
      </c>
      <c r="AH46" s="354"/>
      <c r="AI46" s="354"/>
      <c r="AJ46" s="354"/>
      <c r="AK46" s="354"/>
      <c r="AL46" s="354"/>
      <c r="AM46" s="354"/>
    </row>
    <row r="47" spans="1:39" ht="24.75" customHeight="1" x14ac:dyDescent="0.25">
      <c r="A47" s="363" t="s">
        <v>349</v>
      </c>
      <c r="B47" s="364" t="s">
        <v>350</v>
      </c>
      <c r="C47" s="502">
        <v>352</v>
      </c>
      <c r="D47" s="511">
        <v>271.5</v>
      </c>
      <c r="E47" s="511">
        <v>23.5</v>
      </c>
      <c r="F47" s="511">
        <f>37.4+9.6</f>
        <v>47</v>
      </c>
      <c r="G47" s="511"/>
      <c r="H47" s="511"/>
      <c r="I47" s="511"/>
      <c r="J47" s="511"/>
      <c r="K47" s="568" t="s">
        <v>351</v>
      </c>
      <c r="L47" s="569"/>
      <c r="M47" s="540">
        <f>362.2-56.2-2.5</f>
        <v>303.5</v>
      </c>
      <c r="N47" s="508">
        <v>-29.199999999999989</v>
      </c>
      <c r="O47" s="511">
        <v>27</v>
      </c>
      <c r="P47" s="510"/>
      <c r="Q47" s="92"/>
      <c r="R47" s="92"/>
      <c r="S47" s="92"/>
      <c r="T47" s="92"/>
      <c r="U47" s="512">
        <f t="shared" si="5"/>
        <v>0</v>
      </c>
      <c r="V47" s="513"/>
      <c r="W47" s="539"/>
      <c r="X47" s="556"/>
      <c r="Y47" s="556"/>
      <c r="Z47" s="514">
        <f t="shared" si="6"/>
        <v>330.5</v>
      </c>
      <c r="AA47" s="557"/>
      <c r="AB47" s="545">
        <f>56.2+2.5+38.7</f>
        <v>97.4</v>
      </c>
      <c r="AC47" s="546" t="s">
        <v>352</v>
      </c>
      <c r="AD47" s="518">
        <f t="shared" si="7"/>
        <v>427.9</v>
      </c>
      <c r="AE47" s="520"/>
      <c r="AF47" s="520"/>
      <c r="AG47" s="518">
        <f t="shared" si="8"/>
        <v>427.9</v>
      </c>
      <c r="AH47" s="25"/>
      <c r="AI47" s="25"/>
      <c r="AJ47" s="25"/>
      <c r="AK47" s="25"/>
      <c r="AL47" s="25"/>
      <c r="AM47" s="25"/>
    </row>
    <row r="48" spans="1:39" ht="24.75" customHeight="1" x14ac:dyDescent="0.25">
      <c r="A48" s="363" t="s">
        <v>353</v>
      </c>
      <c r="B48" s="364" t="s">
        <v>354</v>
      </c>
      <c r="C48" s="502">
        <v>507.6</v>
      </c>
      <c r="D48" s="511">
        <v>381</v>
      </c>
      <c r="E48" s="511">
        <v>2.2000000000000002</v>
      </c>
      <c r="F48" s="511">
        <v>34.4</v>
      </c>
      <c r="G48" s="511"/>
      <c r="H48" s="511"/>
      <c r="I48" s="511"/>
      <c r="J48" s="511"/>
      <c r="K48" s="566" t="s">
        <v>355</v>
      </c>
      <c r="L48" s="569"/>
      <c r="M48" s="540">
        <f>446.8-73.2</f>
        <v>373.6</v>
      </c>
      <c r="N48" s="508">
        <v>3.4000000000000341</v>
      </c>
      <c r="O48" s="511"/>
      <c r="P48" s="510"/>
      <c r="Q48" s="92"/>
      <c r="R48" s="92">
        <v>123.4</v>
      </c>
      <c r="S48" s="92"/>
      <c r="T48" s="92"/>
      <c r="U48" s="512">
        <f t="shared" si="5"/>
        <v>123.4</v>
      </c>
      <c r="V48" s="513"/>
      <c r="W48" s="539">
        <f>17.2-17.2</f>
        <v>0</v>
      </c>
      <c r="X48" s="556"/>
      <c r="Y48" s="556"/>
      <c r="Z48" s="514">
        <f t="shared" si="6"/>
        <v>497</v>
      </c>
      <c r="AA48" s="557"/>
      <c r="AB48" s="545">
        <v>73.2</v>
      </c>
      <c r="AC48" s="567" t="s">
        <v>356</v>
      </c>
      <c r="AD48" s="518">
        <f t="shared" si="7"/>
        <v>570.20000000000005</v>
      </c>
      <c r="AE48" s="520">
        <v>31</v>
      </c>
      <c r="AF48" s="520" t="s">
        <v>357</v>
      </c>
      <c r="AG48" s="518">
        <f t="shared" si="8"/>
        <v>601.20000000000005</v>
      </c>
      <c r="AH48" s="25"/>
      <c r="AI48" s="25"/>
      <c r="AJ48" s="25"/>
      <c r="AK48" s="25"/>
      <c r="AL48" s="25"/>
      <c r="AM48" s="25"/>
    </row>
    <row r="49" spans="1:39" ht="24.75" customHeight="1" x14ac:dyDescent="0.25">
      <c r="A49" s="363" t="s">
        <v>358</v>
      </c>
      <c r="B49" s="364" t="s">
        <v>359</v>
      </c>
      <c r="C49" s="502">
        <v>208.4</v>
      </c>
      <c r="D49" s="511">
        <v>190.7</v>
      </c>
      <c r="E49" s="511"/>
      <c r="F49" s="511">
        <v>15.9</v>
      </c>
      <c r="G49" s="511"/>
      <c r="H49" s="511"/>
      <c r="I49" s="511"/>
      <c r="J49" s="511"/>
      <c r="K49" s="568" t="s">
        <v>360</v>
      </c>
      <c r="L49" s="569"/>
      <c r="M49" s="540">
        <f>188.7-24-6</f>
        <v>158.69999999999999</v>
      </c>
      <c r="N49" s="508">
        <v>15.400000000000006</v>
      </c>
      <c r="O49" s="511"/>
      <c r="P49" s="510"/>
      <c r="Q49" s="92"/>
      <c r="R49" s="92"/>
      <c r="S49" s="92"/>
      <c r="T49" s="92"/>
      <c r="U49" s="512">
        <f t="shared" si="5"/>
        <v>0</v>
      </c>
      <c r="V49" s="513"/>
      <c r="W49" s="539">
        <f>7.9-7.9</f>
        <v>0</v>
      </c>
      <c r="X49" s="556"/>
      <c r="Y49" s="556"/>
      <c r="Z49" s="514">
        <f t="shared" si="6"/>
        <v>158.69999999999999</v>
      </c>
      <c r="AA49" s="557"/>
      <c r="AB49" s="545">
        <f>24+6+18.1</f>
        <v>48.1</v>
      </c>
      <c r="AC49" s="567" t="s">
        <v>361</v>
      </c>
      <c r="AD49" s="518">
        <f t="shared" si="7"/>
        <v>206.79999999999998</v>
      </c>
      <c r="AE49" s="520"/>
      <c r="AF49" s="520"/>
      <c r="AG49" s="518">
        <f t="shared" si="8"/>
        <v>206.79999999999998</v>
      </c>
      <c r="AH49" s="25"/>
      <c r="AI49" s="25"/>
      <c r="AJ49" s="25"/>
      <c r="AK49" s="25"/>
      <c r="AL49" s="25"/>
      <c r="AM49" s="25"/>
    </row>
    <row r="50" spans="1:39" ht="24.75" customHeight="1" x14ac:dyDescent="0.25">
      <c r="A50" s="363" t="s">
        <v>362</v>
      </c>
      <c r="B50" s="364" t="s">
        <v>363</v>
      </c>
      <c r="C50" s="518">
        <v>192.9</v>
      </c>
      <c r="D50" s="518">
        <v>43.8</v>
      </c>
      <c r="E50" s="518"/>
      <c r="F50" s="518">
        <v>4.0999999999999996</v>
      </c>
      <c r="G50" s="518"/>
      <c r="H50" s="518"/>
      <c r="I50" s="518"/>
      <c r="J50" s="518"/>
      <c r="K50" s="568" t="s">
        <v>364</v>
      </c>
      <c r="L50" s="570"/>
      <c r="M50" s="570">
        <f>20-3.3</f>
        <v>16.7</v>
      </c>
      <c r="N50" s="508">
        <v>-70.300000000000011</v>
      </c>
      <c r="O50" s="518"/>
      <c r="P50" s="535"/>
      <c r="Q50" s="518"/>
      <c r="R50" s="518">
        <v>303</v>
      </c>
      <c r="S50" s="518"/>
      <c r="T50" s="518"/>
      <c r="U50" s="512">
        <f t="shared" si="5"/>
        <v>303</v>
      </c>
      <c r="V50" s="518"/>
      <c r="W50" s="570">
        <f>2.1-2.1</f>
        <v>0</v>
      </c>
      <c r="X50" s="536"/>
      <c r="Y50" s="536"/>
      <c r="Z50" s="514">
        <f t="shared" si="6"/>
        <v>319.7</v>
      </c>
      <c r="AA50" s="536"/>
      <c r="AB50" s="545">
        <v>3.3</v>
      </c>
      <c r="AC50" s="567" t="s">
        <v>365</v>
      </c>
      <c r="AD50" s="518">
        <f t="shared" si="7"/>
        <v>323</v>
      </c>
      <c r="AE50" s="520"/>
      <c r="AF50" s="520"/>
      <c r="AG50" s="518">
        <f t="shared" si="8"/>
        <v>323</v>
      </c>
      <c r="AH50" s="25"/>
      <c r="AI50" s="25"/>
      <c r="AJ50" s="25"/>
      <c r="AK50" s="25"/>
      <c r="AL50" s="25"/>
      <c r="AM50" s="25"/>
    </row>
    <row r="51" spans="1:39" ht="24.75" customHeight="1" x14ac:dyDescent="0.25">
      <c r="A51" s="363" t="s">
        <v>366</v>
      </c>
      <c r="B51" s="364" t="s">
        <v>367</v>
      </c>
      <c r="C51" s="511">
        <v>270</v>
      </c>
      <c r="D51" s="511">
        <v>270</v>
      </c>
      <c r="E51" s="511"/>
      <c r="F51" s="511"/>
      <c r="G51" s="511"/>
      <c r="H51" s="511"/>
      <c r="I51" s="511"/>
      <c r="J51" s="511"/>
      <c r="K51" s="550" t="s">
        <v>368</v>
      </c>
      <c r="L51" s="92"/>
      <c r="M51" s="511">
        <f>300+400</f>
        <v>700</v>
      </c>
      <c r="N51" s="508">
        <f t="shared" si="14"/>
        <v>430</v>
      </c>
      <c r="O51" s="511"/>
      <c r="P51" s="510">
        <f>O51-E51</f>
        <v>0</v>
      </c>
      <c r="Q51" s="92"/>
      <c r="R51" s="92"/>
      <c r="S51" s="92"/>
      <c r="T51" s="92"/>
      <c r="U51" s="512">
        <f t="shared" si="5"/>
        <v>0</v>
      </c>
      <c r="V51" s="513"/>
      <c r="W51" s="513"/>
      <c r="X51" s="513"/>
      <c r="Y51" s="513"/>
      <c r="Z51" s="514">
        <f t="shared" si="6"/>
        <v>700</v>
      </c>
      <c r="AA51" s="92"/>
      <c r="AB51" s="533"/>
      <c r="AC51" s="541"/>
      <c r="AD51" s="518">
        <f t="shared" si="7"/>
        <v>700</v>
      </c>
      <c r="AE51" s="519"/>
      <c r="AF51" s="520"/>
      <c r="AG51" s="518">
        <f t="shared" si="8"/>
        <v>700</v>
      </c>
      <c r="AH51" s="25"/>
      <c r="AI51" s="25"/>
      <c r="AJ51" s="25"/>
      <c r="AK51" s="25"/>
      <c r="AL51" s="25"/>
      <c r="AM51" s="25"/>
    </row>
    <row r="52" spans="1:39" ht="24.75" hidden="1" customHeight="1" x14ac:dyDescent="0.25">
      <c r="A52" s="363" t="s">
        <v>369</v>
      </c>
      <c r="B52" s="364" t="s">
        <v>370</v>
      </c>
      <c r="C52" s="502">
        <v>2.2999999999999998</v>
      </c>
      <c r="D52" s="511"/>
      <c r="E52" s="511"/>
      <c r="F52" s="511"/>
      <c r="G52" s="511"/>
      <c r="H52" s="511"/>
      <c r="I52" s="511"/>
      <c r="J52" s="511"/>
      <c r="K52" s="505"/>
      <c r="L52" s="92"/>
      <c r="M52" s="532"/>
      <c r="N52" s="508">
        <f t="shared" si="14"/>
        <v>0</v>
      </c>
      <c r="O52" s="511"/>
      <c r="P52" s="510">
        <f>O52-E52</f>
        <v>0</v>
      </c>
      <c r="Q52" s="92"/>
      <c r="R52" s="92"/>
      <c r="S52" s="92"/>
      <c r="T52" s="92"/>
      <c r="U52" s="512">
        <f t="shared" si="5"/>
        <v>0</v>
      </c>
      <c r="V52" s="513"/>
      <c r="W52" s="513"/>
      <c r="X52" s="513"/>
      <c r="Y52" s="513"/>
      <c r="Z52" s="514">
        <f t="shared" si="6"/>
        <v>0</v>
      </c>
      <c r="AA52" s="92"/>
      <c r="AB52" s="533"/>
      <c r="AC52" s="526"/>
      <c r="AD52" s="518">
        <f t="shared" si="7"/>
        <v>0</v>
      </c>
      <c r="AE52" s="519"/>
      <c r="AF52" s="520"/>
      <c r="AG52" s="518">
        <f t="shared" si="8"/>
        <v>0</v>
      </c>
      <c r="AH52" s="25"/>
      <c r="AI52" s="25"/>
      <c r="AJ52" s="25"/>
      <c r="AK52" s="25"/>
      <c r="AL52" s="25"/>
      <c r="AM52" s="25"/>
    </row>
    <row r="53" spans="1:39" ht="24.75" hidden="1" customHeight="1" x14ac:dyDescent="0.25">
      <c r="A53" s="363" t="s">
        <v>371</v>
      </c>
      <c r="B53" s="364" t="s">
        <v>372</v>
      </c>
      <c r="C53" s="571">
        <v>0</v>
      </c>
      <c r="D53" s="572"/>
      <c r="E53" s="511"/>
      <c r="F53" s="511"/>
      <c r="G53" s="511"/>
      <c r="H53" s="511"/>
      <c r="I53" s="511"/>
      <c r="J53" s="511"/>
      <c r="K53" s="505"/>
      <c r="L53" s="92"/>
      <c r="M53" s="532"/>
      <c r="N53" s="508">
        <f t="shared" si="14"/>
        <v>0</v>
      </c>
      <c r="O53" s="511"/>
      <c r="P53" s="510">
        <f>O53-E53</f>
        <v>0</v>
      </c>
      <c r="Q53" s="92"/>
      <c r="R53" s="92"/>
      <c r="S53" s="92"/>
      <c r="T53" s="92"/>
      <c r="U53" s="512">
        <f t="shared" si="5"/>
        <v>0</v>
      </c>
      <c r="V53" s="513"/>
      <c r="W53" s="513"/>
      <c r="X53" s="513"/>
      <c r="Y53" s="513"/>
      <c r="Z53" s="514">
        <f t="shared" si="6"/>
        <v>0</v>
      </c>
      <c r="AA53" s="92"/>
      <c r="AB53" s="533"/>
      <c r="AC53" s="526"/>
      <c r="AD53" s="518">
        <f t="shared" si="7"/>
        <v>0</v>
      </c>
      <c r="AE53" s="519"/>
      <c r="AF53" s="520"/>
      <c r="AG53" s="518">
        <f t="shared" si="8"/>
        <v>0</v>
      </c>
      <c r="AH53" s="25"/>
      <c r="AI53" s="25"/>
      <c r="AJ53" s="25"/>
      <c r="AK53" s="25"/>
      <c r="AL53" s="25"/>
      <c r="AM53" s="25"/>
    </row>
    <row r="54" spans="1:39" ht="24.75" hidden="1" customHeight="1" x14ac:dyDescent="0.25">
      <c r="A54" s="363" t="s">
        <v>373</v>
      </c>
      <c r="B54" s="364" t="s">
        <v>374</v>
      </c>
      <c r="C54" s="573">
        <v>0</v>
      </c>
      <c r="D54" s="511"/>
      <c r="E54" s="511"/>
      <c r="F54" s="511"/>
      <c r="G54" s="511"/>
      <c r="H54" s="511"/>
      <c r="I54" s="511"/>
      <c r="J54" s="511"/>
      <c r="K54" s="505"/>
      <c r="L54" s="511"/>
      <c r="M54" s="574"/>
      <c r="N54" s="508">
        <f t="shared" si="14"/>
        <v>0</v>
      </c>
      <c r="O54" s="511"/>
      <c r="P54" s="510">
        <f>O54-E54</f>
        <v>0</v>
      </c>
      <c r="Q54" s="511"/>
      <c r="R54" s="511"/>
      <c r="S54" s="511"/>
      <c r="T54" s="511"/>
      <c r="U54" s="512">
        <f t="shared" si="5"/>
        <v>0</v>
      </c>
      <c r="V54" s="513"/>
      <c r="W54" s="513"/>
      <c r="X54" s="513"/>
      <c r="Y54" s="513"/>
      <c r="Z54" s="514">
        <f t="shared" si="6"/>
        <v>0</v>
      </c>
      <c r="AA54" s="511"/>
      <c r="AB54" s="575"/>
      <c r="AC54" s="524"/>
      <c r="AD54" s="518">
        <f t="shared" si="7"/>
        <v>0</v>
      </c>
      <c r="AE54" s="519"/>
      <c r="AF54" s="520"/>
      <c r="AG54" s="518">
        <f t="shared" si="8"/>
        <v>0</v>
      </c>
      <c r="AH54" s="25"/>
      <c r="AI54" s="25"/>
      <c r="AJ54" s="25"/>
      <c r="AK54" s="25"/>
      <c r="AL54" s="25"/>
      <c r="AM54" s="25"/>
    </row>
    <row r="55" spans="1:39" ht="24.75" customHeight="1" x14ac:dyDescent="0.25">
      <c r="A55" s="363" t="s">
        <v>375</v>
      </c>
      <c r="B55" s="364" t="s">
        <v>376</v>
      </c>
      <c r="C55" s="502">
        <v>217.3</v>
      </c>
      <c r="D55" s="511">
        <v>42.7</v>
      </c>
      <c r="E55" s="511"/>
      <c r="F55" s="511"/>
      <c r="G55" s="511"/>
      <c r="H55" s="511"/>
      <c r="I55" s="511"/>
      <c r="J55" s="511"/>
      <c r="K55" s="550" t="s">
        <v>377</v>
      </c>
      <c r="L55" s="92"/>
      <c r="M55" s="532">
        <v>63</v>
      </c>
      <c r="N55" s="508">
        <f t="shared" si="14"/>
        <v>20.299999999999997</v>
      </c>
      <c r="O55" s="511"/>
      <c r="P55" s="510">
        <f>O55-E55</f>
        <v>0</v>
      </c>
      <c r="Q55" s="92"/>
      <c r="R55" s="92">
        <v>168.2</v>
      </c>
      <c r="S55" s="92"/>
      <c r="T55" s="92"/>
      <c r="U55" s="512">
        <f t="shared" si="5"/>
        <v>168.2</v>
      </c>
      <c r="V55" s="513"/>
      <c r="W55" s="513"/>
      <c r="X55" s="513"/>
      <c r="Y55" s="513"/>
      <c r="Z55" s="514">
        <f t="shared" si="6"/>
        <v>231.2</v>
      </c>
      <c r="AA55" s="92"/>
      <c r="AB55" s="576"/>
      <c r="AC55" s="526"/>
      <c r="AD55" s="518">
        <f t="shared" si="7"/>
        <v>231.2</v>
      </c>
      <c r="AE55" s="519"/>
      <c r="AF55" s="520"/>
      <c r="AG55" s="518">
        <f t="shared" si="8"/>
        <v>231.2</v>
      </c>
      <c r="AH55" s="25"/>
      <c r="AI55" s="25"/>
      <c r="AJ55" s="25"/>
      <c r="AK55" s="25"/>
      <c r="AL55" s="25"/>
      <c r="AM55" s="25"/>
    </row>
    <row r="56" spans="1:39" s="16" customFormat="1" ht="24.75" customHeight="1" x14ac:dyDescent="0.25">
      <c r="A56" s="363" t="s">
        <v>378</v>
      </c>
      <c r="B56" s="364" t="s">
        <v>379</v>
      </c>
      <c r="C56" s="559">
        <v>1</v>
      </c>
      <c r="D56" s="559">
        <v>1</v>
      </c>
      <c r="E56" s="559"/>
      <c r="F56" s="559"/>
      <c r="G56" s="559"/>
      <c r="H56" s="559"/>
      <c r="I56" s="559"/>
      <c r="J56" s="559"/>
      <c r="K56" s="550" t="s">
        <v>380</v>
      </c>
      <c r="L56" s="559"/>
      <c r="M56" s="559">
        <v>2</v>
      </c>
      <c r="N56" s="508">
        <f t="shared" si="14"/>
        <v>1</v>
      </c>
      <c r="O56" s="511"/>
      <c r="P56" s="510"/>
      <c r="Q56" s="559"/>
      <c r="R56" s="559"/>
      <c r="S56" s="559"/>
      <c r="T56" s="559"/>
      <c r="U56" s="512">
        <f t="shared" si="5"/>
        <v>0</v>
      </c>
      <c r="V56" s="513"/>
      <c r="W56" s="513"/>
      <c r="X56" s="513"/>
      <c r="Y56" s="513"/>
      <c r="Z56" s="514">
        <f t="shared" si="6"/>
        <v>2</v>
      </c>
      <c r="AA56" s="559"/>
      <c r="AB56" s="560"/>
      <c r="AC56" s="524"/>
      <c r="AD56" s="518">
        <f t="shared" si="7"/>
        <v>2</v>
      </c>
      <c r="AE56" s="519"/>
      <c r="AF56" s="520"/>
      <c r="AG56" s="518">
        <f t="shared" si="8"/>
        <v>2</v>
      </c>
      <c r="AH56" s="501"/>
      <c r="AI56" s="501"/>
      <c r="AJ56" s="501"/>
      <c r="AK56" s="501"/>
      <c r="AL56" s="501"/>
      <c r="AM56" s="501"/>
    </row>
    <row r="57" spans="1:39" ht="33" hidden="1" customHeight="1" x14ac:dyDescent="0.25">
      <c r="A57" s="363" t="s">
        <v>381</v>
      </c>
      <c r="B57" s="364" t="s">
        <v>382</v>
      </c>
      <c r="C57" s="502">
        <v>31.9</v>
      </c>
      <c r="D57" s="511"/>
      <c r="E57" s="511"/>
      <c r="F57" s="511"/>
      <c r="G57" s="511"/>
      <c r="H57" s="511"/>
      <c r="I57" s="511"/>
      <c r="J57" s="511"/>
      <c r="K57" s="505"/>
      <c r="L57" s="92"/>
      <c r="M57" s="540"/>
      <c r="N57" s="577">
        <f t="shared" si="14"/>
        <v>0</v>
      </c>
      <c r="O57" s="578"/>
      <c r="P57" s="579"/>
      <c r="Q57" s="569"/>
      <c r="R57" s="569"/>
      <c r="S57" s="569"/>
      <c r="T57" s="580"/>
      <c r="U57" s="512">
        <f t="shared" si="5"/>
        <v>0</v>
      </c>
      <c r="V57" s="513"/>
      <c r="W57" s="513"/>
      <c r="X57" s="513"/>
      <c r="Y57" s="513"/>
      <c r="Z57" s="514">
        <f t="shared" si="6"/>
        <v>0</v>
      </c>
      <c r="AA57" s="92"/>
      <c r="AB57" s="533"/>
      <c r="AC57" s="526"/>
      <c r="AD57" s="518">
        <f t="shared" si="7"/>
        <v>0</v>
      </c>
      <c r="AE57" s="519"/>
      <c r="AF57" s="520"/>
      <c r="AG57" s="518">
        <f t="shared" si="8"/>
        <v>0</v>
      </c>
      <c r="AH57" s="25"/>
      <c r="AI57" s="25"/>
      <c r="AJ57" s="25"/>
      <c r="AK57" s="25"/>
      <c r="AL57" s="25"/>
      <c r="AM57" s="25"/>
    </row>
    <row r="58" spans="1:39" ht="24.75" customHeight="1" x14ac:dyDescent="0.25">
      <c r="A58" s="363" t="s">
        <v>383</v>
      </c>
      <c r="B58" s="364" t="s">
        <v>384</v>
      </c>
      <c r="C58" s="502">
        <v>1.1000000000000001</v>
      </c>
      <c r="D58" s="511">
        <v>1.1000000000000001</v>
      </c>
      <c r="E58" s="511"/>
      <c r="F58" s="511"/>
      <c r="G58" s="511"/>
      <c r="H58" s="511"/>
      <c r="I58" s="511"/>
      <c r="J58" s="511"/>
      <c r="K58" s="566" t="s">
        <v>385</v>
      </c>
      <c r="L58" s="92"/>
      <c r="M58" s="540">
        <v>2.2000000000000002</v>
      </c>
      <c r="N58" s="577">
        <f t="shared" si="14"/>
        <v>1.1000000000000001</v>
      </c>
      <c r="O58" s="578"/>
      <c r="P58" s="579"/>
      <c r="Q58" s="569"/>
      <c r="R58" s="569"/>
      <c r="S58" s="569"/>
      <c r="T58" s="569"/>
      <c r="U58" s="512">
        <f t="shared" si="5"/>
        <v>0</v>
      </c>
      <c r="V58" s="539"/>
      <c r="W58" s="539"/>
      <c r="X58" s="513"/>
      <c r="Y58" s="513"/>
      <c r="Z58" s="514">
        <f t="shared" si="6"/>
        <v>2.2000000000000002</v>
      </c>
      <c r="AA58" s="92"/>
      <c r="AB58" s="533"/>
      <c r="AC58" s="526"/>
      <c r="AD58" s="518">
        <f t="shared" si="7"/>
        <v>2.2000000000000002</v>
      </c>
      <c r="AE58" s="519"/>
      <c r="AF58" s="520"/>
      <c r="AG58" s="518">
        <f t="shared" si="8"/>
        <v>2.2000000000000002</v>
      </c>
      <c r="AH58" s="25"/>
      <c r="AI58" s="25"/>
      <c r="AJ58" s="25"/>
      <c r="AK58" s="25"/>
      <c r="AL58" s="25"/>
      <c r="AM58" s="25"/>
    </row>
    <row r="59" spans="1:39" ht="24.75" customHeight="1" x14ac:dyDescent="0.25">
      <c r="A59" s="363" t="s">
        <v>386</v>
      </c>
      <c r="B59" s="364" t="s">
        <v>387</v>
      </c>
      <c r="C59" s="502">
        <v>230.3</v>
      </c>
      <c r="D59" s="511">
        <v>60</v>
      </c>
      <c r="E59" s="511"/>
      <c r="F59" s="511"/>
      <c r="G59" s="511"/>
      <c r="H59" s="511"/>
      <c r="I59" s="511"/>
      <c r="J59" s="511"/>
      <c r="K59" s="550" t="s">
        <v>388</v>
      </c>
      <c r="L59" s="92"/>
      <c r="M59" s="540">
        <v>77.5</v>
      </c>
      <c r="N59" s="577">
        <f t="shared" si="14"/>
        <v>17.5</v>
      </c>
      <c r="O59" s="578"/>
      <c r="P59" s="579"/>
      <c r="Q59" s="569"/>
      <c r="R59" s="569"/>
      <c r="S59" s="578">
        <v>170.3</v>
      </c>
      <c r="T59" s="569"/>
      <c r="U59" s="512">
        <f t="shared" si="5"/>
        <v>170.3</v>
      </c>
      <c r="V59" s="539"/>
      <c r="W59" s="539"/>
      <c r="X59" s="513"/>
      <c r="Y59" s="513"/>
      <c r="Z59" s="514">
        <f t="shared" si="6"/>
        <v>247.8</v>
      </c>
      <c r="AA59" s="92"/>
      <c r="AB59" s="533"/>
      <c r="AC59" s="526"/>
      <c r="AD59" s="518">
        <f t="shared" si="7"/>
        <v>247.8</v>
      </c>
      <c r="AE59" s="554"/>
      <c r="AF59" s="581"/>
      <c r="AG59" s="518">
        <f t="shared" si="8"/>
        <v>247.8</v>
      </c>
      <c r="AH59" s="25"/>
      <c r="AI59" s="25"/>
      <c r="AJ59" s="25"/>
      <c r="AK59" s="25"/>
      <c r="AL59" s="25"/>
      <c r="AM59" s="25"/>
    </row>
    <row r="60" spans="1:39" ht="24.75" customHeight="1" x14ac:dyDescent="0.25">
      <c r="A60" s="363" t="s">
        <v>389</v>
      </c>
      <c r="B60" s="364" t="s">
        <v>390</v>
      </c>
      <c r="C60" s="502">
        <v>25.7</v>
      </c>
      <c r="D60" s="511"/>
      <c r="E60" s="511"/>
      <c r="F60" s="511"/>
      <c r="G60" s="511"/>
      <c r="H60" s="511"/>
      <c r="I60" s="511"/>
      <c r="J60" s="511"/>
      <c r="K60" s="550"/>
      <c r="L60" s="92"/>
      <c r="M60" s="540"/>
      <c r="N60" s="577">
        <f t="shared" si="14"/>
        <v>0</v>
      </c>
      <c r="O60" s="578"/>
      <c r="P60" s="579"/>
      <c r="Q60" s="569"/>
      <c r="R60" s="569">
        <v>25.7</v>
      </c>
      <c r="S60" s="569"/>
      <c r="T60" s="569"/>
      <c r="U60" s="512">
        <f t="shared" si="5"/>
        <v>25.7</v>
      </c>
      <c r="V60" s="539"/>
      <c r="W60" s="539"/>
      <c r="X60" s="513"/>
      <c r="Y60" s="513"/>
      <c r="Z60" s="514">
        <f t="shared" si="6"/>
        <v>25.7</v>
      </c>
      <c r="AA60" s="92"/>
      <c r="AB60" s="533"/>
      <c r="AC60" s="526"/>
      <c r="AD60" s="518">
        <f t="shared" si="7"/>
        <v>25.7</v>
      </c>
      <c r="AE60" s="519"/>
      <c r="AF60" s="520"/>
      <c r="AG60" s="518">
        <f t="shared" si="8"/>
        <v>25.7</v>
      </c>
      <c r="AH60" s="25"/>
      <c r="AI60" s="25"/>
      <c r="AJ60" s="25"/>
      <c r="AK60" s="25"/>
      <c r="AL60" s="25"/>
      <c r="AM60" s="25"/>
    </row>
    <row r="61" spans="1:39" ht="24.75" customHeight="1" x14ac:dyDescent="0.25">
      <c r="A61" s="363" t="s">
        <v>391</v>
      </c>
      <c r="B61" s="582" t="s">
        <v>392</v>
      </c>
      <c r="C61" s="502">
        <v>37.1</v>
      </c>
      <c r="D61" s="511"/>
      <c r="E61" s="511"/>
      <c r="F61" s="511"/>
      <c r="G61" s="511"/>
      <c r="H61" s="511"/>
      <c r="I61" s="511"/>
      <c r="J61" s="511"/>
      <c r="K61" s="550"/>
      <c r="L61" s="92"/>
      <c r="M61" s="540"/>
      <c r="N61" s="577"/>
      <c r="O61" s="578"/>
      <c r="P61" s="579"/>
      <c r="Q61" s="569"/>
      <c r="R61" s="569"/>
      <c r="S61" s="569">
        <v>37.1</v>
      </c>
      <c r="T61" s="569">
        <v>26</v>
      </c>
      <c r="U61" s="512">
        <f t="shared" si="5"/>
        <v>63.1</v>
      </c>
      <c r="V61" s="539"/>
      <c r="W61" s="539"/>
      <c r="X61" s="513"/>
      <c r="Y61" s="513"/>
      <c r="Z61" s="514">
        <f t="shared" si="6"/>
        <v>63.1</v>
      </c>
      <c r="AA61" s="92"/>
      <c r="AB61" s="533"/>
      <c r="AC61" s="526"/>
      <c r="AD61" s="518">
        <f t="shared" si="7"/>
        <v>63.1</v>
      </c>
      <c r="AE61" s="519"/>
      <c r="AF61" s="520"/>
      <c r="AG61" s="518">
        <f t="shared" si="8"/>
        <v>63.1</v>
      </c>
      <c r="AH61" s="25"/>
      <c r="AI61" s="25"/>
      <c r="AJ61" s="25"/>
      <c r="AK61" s="25"/>
      <c r="AL61" s="25"/>
      <c r="AM61" s="25"/>
    </row>
    <row r="62" spans="1:39" ht="35.25" customHeight="1" x14ac:dyDescent="0.25">
      <c r="A62" s="363" t="s">
        <v>393</v>
      </c>
      <c r="B62" s="582" t="s">
        <v>394</v>
      </c>
      <c r="C62" s="502">
        <v>0</v>
      </c>
      <c r="D62" s="511"/>
      <c r="E62" s="511"/>
      <c r="F62" s="511"/>
      <c r="G62" s="511"/>
      <c r="H62" s="511"/>
      <c r="I62" s="511"/>
      <c r="J62" s="511"/>
      <c r="K62" s="550" t="s">
        <v>395</v>
      </c>
      <c r="L62" s="92"/>
      <c r="M62" s="578">
        <v>52.5</v>
      </c>
      <c r="N62" s="577"/>
      <c r="O62" s="578"/>
      <c r="P62" s="579"/>
      <c r="Q62" s="569"/>
      <c r="R62" s="569"/>
      <c r="S62" s="569"/>
      <c r="T62" s="569">
        <v>46.2</v>
      </c>
      <c r="U62" s="512">
        <f t="shared" si="5"/>
        <v>46.2</v>
      </c>
      <c r="V62" s="539"/>
      <c r="W62" s="539"/>
      <c r="X62" s="513"/>
      <c r="Y62" s="513"/>
      <c r="Z62" s="514">
        <f t="shared" si="6"/>
        <v>98.7</v>
      </c>
      <c r="AA62" s="92"/>
      <c r="AB62" s="533"/>
      <c r="AC62" s="526"/>
      <c r="AD62" s="518">
        <f t="shared" si="7"/>
        <v>98.7</v>
      </c>
      <c r="AE62" s="519"/>
      <c r="AF62" s="520"/>
      <c r="AG62" s="518">
        <f t="shared" si="8"/>
        <v>98.7</v>
      </c>
      <c r="AH62" s="25"/>
      <c r="AI62" s="25"/>
      <c r="AJ62" s="25"/>
      <c r="AK62" s="25"/>
      <c r="AL62" s="25"/>
      <c r="AM62" s="25"/>
    </row>
    <row r="63" spans="1:39" s="10" customFormat="1" ht="24.75" customHeight="1" x14ac:dyDescent="0.25">
      <c r="A63" s="495" t="s">
        <v>396</v>
      </c>
      <c r="B63" s="496" t="s">
        <v>397</v>
      </c>
      <c r="C63" s="547">
        <f>C64+C65+C66+C67+C68</f>
        <v>245.9</v>
      </c>
      <c r="D63" s="547">
        <f t="shared" ref="D63:J63" si="17">D64+D65+D66+D67+D68</f>
        <v>155</v>
      </c>
      <c r="E63" s="547">
        <f t="shared" si="17"/>
        <v>0</v>
      </c>
      <c r="F63" s="547">
        <f t="shared" si="17"/>
        <v>0</v>
      </c>
      <c r="G63" s="547">
        <f t="shared" si="17"/>
        <v>0</v>
      </c>
      <c r="H63" s="547">
        <f t="shared" si="17"/>
        <v>0</v>
      </c>
      <c r="I63" s="547">
        <f t="shared" si="17"/>
        <v>0</v>
      </c>
      <c r="J63" s="547">
        <f t="shared" si="17"/>
        <v>0</v>
      </c>
      <c r="K63" s="548"/>
      <c r="L63" s="547">
        <f t="shared" ref="L63:AA63" si="18">L64+L65+L66+L67+L68</f>
        <v>0</v>
      </c>
      <c r="M63" s="499">
        <f>M64+M65+M66+M67+M68+M69+M70</f>
        <v>238</v>
      </c>
      <c r="N63" s="583">
        <f t="shared" ref="N63:T63" si="19">N64+N65+N66+N67+N68+N69+N70</f>
        <v>0</v>
      </c>
      <c r="O63" s="499">
        <f t="shared" si="19"/>
        <v>0</v>
      </c>
      <c r="P63" s="499">
        <f t="shared" si="19"/>
        <v>0</v>
      </c>
      <c r="Q63" s="499">
        <f t="shared" si="19"/>
        <v>0</v>
      </c>
      <c r="R63" s="499">
        <f t="shared" si="19"/>
        <v>90.9</v>
      </c>
      <c r="S63" s="499">
        <f t="shared" si="19"/>
        <v>0</v>
      </c>
      <c r="T63" s="499">
        <f t="shared" si="19"/>
        <v>0</v>
      </c>
      <c r="U63" s="512">
        <f>Q63+R63+S63+T63</f>
        <v>90.9</v>
      </c>
      <c r="V63" s="499">
        <f>V64+V65+V66+V67+V68+V69+V70</f>
        <v>0</v>
      </c>
      <c r="W63" s="499">
        <f>W64+W65+W66+W67+W68+W69+W70</f>
        <v>0</v>
      </c>
      <c r="X63" s="547">
        <f t="shared" si="18"/>
        <v>0</v>
      </c>
      <c r="Y63" s="547">
        <f t="shared" si="18"/>
        <v>0</v>
      </c>
      <c r="Z63" s="499">
        <f>M63+O63+U63+V63+W63+X63</f>
        <v>328.9</v>
      </c>
      <c r="AA63" s="547">
        <f t="shared" si="18"/>
        <v>0</v>
      </c>
      <c r="AB63" s="545">
        <f>AB64+AB65+AB66+AB67+AB68+AB69+AB70</f>
        <v>30</v>
      </c>
      <c r="AC63" s="524"/>
      <c r="AD63" s="518">
        <f t="shared" si="7"/>
        <v>358.9</v>
      </c>
      <c r="AE63" s="584">
        <f>AE64+AE65+AE66+AE67+AE68+AE69+AE70</f>
        <v>75</v>
      </c>
      <c r="AF63" s="584"/>
      <c r="AG63" s="518">
        <f t="shared" si="8"/>
        <v>433.9</v>
      </c>
      <c r="AH63" s="354"/>
      <c r="AI63" s="354"/>
      <c r="AJ63" s="354"/>
      <c r="AK63" s="354"/>
      <c r="AL63" s="354"/>
      <c r="AM63" s="354"/>
    </row>
    <row r="64" spans="1:39" ht="24.75" customHeight="1" x14ac:dyDescent="0.25">
      <c r="A64" s="363" t="s">
        <v>398</v>
      </c>
      <c r="B64" s="364" t="s">
        <v>399</v>
      </c>
      <c r="C64" s="502">
        <v>45</v>
      </c>
      <c r="D64" s="511">
        <v>45</v>
      </c>
      <c r="E64" s="511"/>
      <c r="F64" s="511"/>
      <c r="G64" s="511"/>
      <c r="H64" s="511"/>
      <c r="I64" s="511"/>
      <c r="J64" s="511"/>
      <c r="K64" s="550" t="s">
        <v>400</v>
      </c>
      <c r="L64" s="92"/>
      <c r="M64" s="540">
        <v>45</v>
      </c>
      <c r="N64" s="577">
        <f t="shared" si="14"/>
        <v>0</v>
      </c>
      <c r="O64" s="578"/>
      <c r="P64" s="579"/>
      <c r="Q64" s="569"/>
      <c r="R64" s="569"/>
      <c r="S64" s="569"/>
      <c r="T64" s="569"/>
      <c r="U64" s="512">
        <f t="shared" si="5"/>
        <v>0</v>
      </c>
      <c r="V64" s="539"/>
      <c r="W64" s="539"/>
      <c r="X64" s="513"/>
      <c r="Y64" s="513"/>
      <c r="Z64" s="514">
        <f t="shared" si="6"/>
        <v>45</v>
      </c>
      <c r="AA64" s="92"/>
      <c r="AB64" s="533">
        <v>30</v>
      </c>
      <c r="AC64" s="526"/>
      <c r="AD64" s="518">
        <f t="shared" si="7"/>
        <v>75</v>
      </c>
      <c r="AE64" s="519">
        <v>75</v>
      </c>
      <c r="AF64" s="530" t="s">
        <v>401</v>
      </c>
      <c r="AG64" s="518">
        <f t="shared" si="8"/>
        <v>150</v>
      </c>
      <c r="AH64" s="25"/>
      <c r="AI64" s="25"/>
      <c r="AJ64" s="25"/>
      <c r="AK64" s="25"/>
      <c r="AL64" s="25"/>
      <c r="AM64" s="25"/>
    </row>
    <row r="65" spans="1:39" ht="24.75" customHeight="1" x14ac:dyDescent="0.25">
      <c r="A65" s="363" t="s">
        <v>402</v>
      </c>
      <c r="B65" s="364" t="s">
        <v>403</v>
      </c>
      <c r="C65" s="502">
        <v>100</v>
      </c>
      <c r="D65" s="511">
        <v>100</v>
      </c>
      <c r="E65" s="511"/>
      <c r="F65" s="511"/>
      <c r="G65" s="511"/>
      <c r="H65" s="511"/>
      <c r="I65" s="511"/>
      <c r="J65" s="511"/>
      <c r="K65" s="550" t="s">
        <v>404</v>
      </c>
      <c r="L65" s="92"/>
      <c r="M65" s="569">
        <v>100</v>
      </c>
      <c r="N65" s="577">
        <f t="shared" si="14"/>
        <v>0</v>
      </c>
      <c r="O65" s="578"/>
      <c r="P65" s="579"/>
      <c r="Q65" s="569"/>
      <c r="R65" s="569"/>
      <c r="S65" s="569"/>
      <c r="T65" s="569"/>
      <c r="U65" s="512">
        <f t="shared" si="5"/>
        <v>0</v>
      </c>
      <c r="V65" s="539"/>
      <c r="W65" s="539"/>
      <c r="X65" s="513"/>
      <c r="Y65" s="513"/>
      <c r="Z65" s="514">
        <f t="shared" si="6"/>
        <v>100</v>
      </c>
      <c r="AA65" s="92"/>
      <c r="AB65" s="533"/>
      <c r="AC65" s="541"/>
      <c r="AD65" s="518">
        <f t="shared" si="7"/>
        <v>100</v>
      </c>
      <c r="AE65" s="519"/>
      <c r="AF65" s="520"/>
      <c r="AG65" s="518">
        <f t="shared" si="8"/>
        <v>100</v>
      </c>
      <c r="AH65" s="25"/>
      <c r="AI65" s="25"/>
      <c r="AJ65" s="25"/>
      <c r="AK65" s="25"/>
      <c r="AL65" s="25"/>
      <c r="AM65" s="25"/>
    </row>
    <row r="66" spans="1:39" ht="24.75" customHeight="1" x14ac:dyDescent="0.25">
      <c r="A66" s="363" t="s">
        <v>405</v>
      </c>
      <c r="B66" s="364" t="s">
        <v>406</v>
      </c>
      <c r="C66" s="502">
        <v>60</v>
      </c>
      <c r="D66" s="511"/>
      <c r="E66" s="511"/>
      <c r="F66" s="511"/>
      <c r="G66" s="511"/>
      <c r="H66" s="511"/>
      <c r="I66" s="511"/>
      <c r="J66" s="511"/>
      <c r="K66" s="505"/>
      <c r="L66" s="92"/>
      <c r="M66" s="540"/>
      <c r="N66" s="577">
        <f t="shared" si="14"/>
        <v>0</v>
      </c>
      <c r="O66" s="578"/>
      <c r="P66" s="579"/>
      <c r="Q66" s="569"/>
      <c r="R66" s="569">
        <v>60</v>
      </c>
      <c r="S66" s="569"/>
      <c r="T66" s="569"/>
      <c r="U66" s="512">
        <f t="shared" si="5"/>
        <v>60</v>
      </c>
      <c r="V66" s="539"/>
      <c r="W66" s="539"/>
      <c r="X66" s="513"/>
      <c r="Y66" s="513"/>
      <c r="Z66" s="514">
        <f t="shared" si="6"/>
        <v>60</v>
      </c>
      <c r="AA66" s="92"/>
      <c r="AB66" s="533"/>
      <c r="AC66" s="526"/>
      <c r="AD66" s="518">
        <f t="shared" si="7"/>
        <v>60</v>
      </c>
      <c r="AE66" s="519"/>
      <c r="AF66" s="520"/>
      <c r="AG66" s="518">
        <f t="shared" si="8"/>
        <v>60</v>
      </c>
      <c r="AH66" s="25"/>
      <c r="AI66" s="25"/>
      <c r="AJ66" s="25"/>
      <c r="AK66" s="25"/>
      <c r="AL66" s="25"/>
      <c r="AM66" s="25"/>
    </row>
    <row r="67" spans="1:39" ht="24.75" customHeight="1" x14ac:dyDescent="0.25">
      <c r="A67" s="363" t="s">
        <v>407</v>
      </c>
      <c r="B67" s="364" t="s">
        <v>408</v>
      </c>
      <c r="C67" s="502">
        <v>30.9</v>
      </c>
      <c r="D67" s="511"/>
      <c r="E67" s="511"/>
      <c r="F67" s="511"/>
      <c r="G67" s="511"/>
      <c r="H67" s="511"/>
      <c r="I67" s="511"/>
      <c r="J67" s="511"/>
      <c r="K67" s="505"/>
      <c r="L67" s="92"/>
      <c r="M67" s="540"/>
      <c r="N67" s="577">
        <f t="shared" si="14"/>
        <v>0</v>
      </c>
      <c r="O67" s="578"/>
      <c r="P67" s="579"/>
      <c r="Q67" s="569"/>
      <c r="R67" s="569">
        <v>30.9</v>
      </c>
      <c r="S67" s="569"/>
      <c r="T67" s="569"/>
      <c r="U67" s="512">
        <f t="shared" si="5"/>
        <v>30.9</v>
      </c>
      <c r="V67" s="539"/>
      <c r="W67" s="539"/>
      <c r="X67" s="513"/>
      <c r="Y67" s="513"/>
      <c r="Z67" s="514">
        <f t="shared" si="6"/>
        <v>30.9</v>
      </c>
      <c r="AA67" s="92"/>
      <c r="AB67" s="533"/>
      <c r="AC67" s="526"/>
      <c r="AD67" s="518">
        <f t="shared" si="7"/>
        <v>30.9</v>
      </c>
      <c r="AE67" s="519"/>
      <c r="AF67" s="520"/>
      <c r="AG67" s="518">
        <f t="shared" si="8"/>
        <v>30.9</v>
      </c>
      <c r="AH67" s="25"/>
      <c r="AI67" s="25"/>
      <c r="AJ67" s="25"/>
      <c r="AK67" s="25"/>
      <c r="AL67" s="25"/>
      <c r="AM67" s="25"/>
    </row>
    <row r="68" spans="1:39" ht="24.75" customHeight="1" x14ac:dyDescent="0.25">
      <c r="A68" s="363" t="s">
        <v>409</v>
      </c>
      <c r="B68" s="364" t="s">
        <v>410</v>
      </c>
      <c r="C68" s="502">
        <v>10</v>
      </c>
      <c r="D68" s="511">
        <v>10</v>
      </c>
      <c r="E68" s="511"/>
      <c r="F68" s="511"/>
      <c r="G68" s="511"/>
      <c r="H68" s="511"/>
      <c r="I68" s="511"/>
      <c r="J68" s="511"/>
      <c r="K68" s="550" t="s">
        <v>411</v>
      </c>
      <c r="L68" s="92"/>
      <c r="M68" s="540">
        <v>10</v>
      </c>
      <c r="N68" s="577">
        <f t="shared" si="14"/>
        <v>0</v>
      </c>
      <c r="O68" s="578"/>
      <c r="P68" s="579"/>
      <c r="Q68" s="569"/>
      <c r="R68" s="569"/>
      <c r="S68" s="569"/>
      <c r="T68" s="569"/>
      <c r="U68" s="512">
        <f t="shared" si="5"/>
        <v>0</v>
      </c>
      <c r="V68" s="539"/>
      <c r="W68" s="539"/>
      <c r="X68" s="513"/>
      <c r="Y68" s="513"/>
      <c r="Z68" s="514">
        <f t="shared" si="6"/>
        <v>10</v>
      </c>
      <c r="AA68" s="92"/>
      <c r="AB68" s="533"/>
      <c r="AC68" s="526"/>
      <c r="AD68" s="518">
        <f t="shared" si="7"/>
        <v>10</v>
      </c>
      <c r="AE68" s="519"/>
      <c r="AF68" s="520"/>
      <c r="AG68" s="518">
        <f t="shared" si="8"/>
        <v>10</v>
      </c>
      <c r="AH68" s="25"/>
      <c r="AI68" s="25"/>
      <c r="AJ68" s="25"/>
      <c r="AK68" s="25"/>
      <c r="AL68" s="25"/>
      <c r="AM68" s="25"/>
    </row>
    <row r="69" spans="1:39" ht="24.75" customHeight="1" x14ac:dyDescent="0.25">
      <c r="A69" s="363" t="s">
        <v>412</v>
      </c>
      <c r="B69" s="364" t="s">
        <v>413</v>
      </c>
      <c r="C69" s="502">
        <v>0</v>
      </c>
      <c r="D69" s="511"/>
      <c r="E69" s="511"/>
      <c r="F69" s="511"/>
      <c r="G69" s="511"/>
      <c r="H69" s="511"/>
      <c r="I69" s="511"/>
      <c r="J69" s="511"/>
      <c r="K69" s="550"/>
      <c r="L69" s="92"/>
      <c r="M69" s="540">
        <v>1</v>
      </c>
      <c r="N69" s="577"/>
      <c r="O69" s="578"/>
      <c r="P69" s="579"/>
      <c r="Q69" s="569"/>
      <c r="R69" s="569"/>
      <c r="S69" s="569"/>
      <c r="T69" s="569"/>
      <c r="U69" s="512">
        <f t="shared" si="5"/>
        <v>0</v>
      </c>
      <c r="V69" s="539"/>
      <c r="W69" s="539"/>
      <c r="X69" s="513"/>
      <c r="Y69" s="513"/>
      <c r="Z69" s="514">
        <f t="shared" si="6"/>
        <v>1</v>
      </c>
      <c r="AA69" s="92"/>
      <c r="AB69" s="533"/>
      <c r="AC69" s="526"/>
      <c r="AD69" s="518">
        <f t="shared" si="7"/>
        <v>1</v>
      </c>
      <c r="AE69" s="519"/>
      <c r="AF69" s="520"/>
      <c r="AG69" s="518">
        <f t="shared" si="8"/>
        <v>1</v>
      </c>
      <c r="AH69" s="25"/>
      <c r="AI69" s="25"/>
      <c r="AJ69" s="25"/>
      <c r="AK69" s="25"/>
      <c r="AL69" s="25"/>
      <c r="AM69" s="25"/>
    </row>
    <row r="70" spans="1:39" ht="24.75" customHeight="1" x14ac:dyDescent="0.25">
      <c r="A70" s="363" t="s">
        <v>414</v>
      </c>
      <c r="B70" s="364" t="s">
        <v>415</v>
      </c>
      <c r="C70" s="502"/>
      <c r="D70" s="511"/>
      <c r="E70" s="511"/>
      <c r="F70" s="511"/>
      <c r="G70" s="511"/>
      <c r="H70" s="511"/>
      <c r="I70" s="511"/>
      <c r="J70" s="511"/>
      <c r="K70" s="550" t="s">
        <v>416</v>
      </c>
      <c r="L70" s="92"/>
      <c r="M70" s="569">
        <v>82</v>
      </c>
      <c r="N70" s="577"/>
      <c r="O70" s="578"/>
      <c r="P70" s="579"/>
      <c r="Q70" s="569"/>
      <c r="R70" s="569"/>
      <c r="S70" s="569"/>
      <c r="T70" s="569"/>
      <c r="U70" s="512">
        <f t="shared" si="5"/>
        <v>0</v>
      </c>
      <c r="V70" s="539"/>
      <c r="W70" s="539"/>
      <c r="X70" s="513"/>
      <c r="Y70" s="513"/>
      <c r="Z70" s="514">
        <f t="shared" si="6"/>
        <v>82</v>
      </c>
      <c r="AA70" s="92"/>
      <c r="AB70" s="533"/>
      <c r="AC70" s="541"/>
      <c r="AD70" s="518">
        <f t="shared" si="7"/>
        <v>82</v>
      </c>
      <c r="AE70" s="519"/>
      <c r="AF70" s="520"/>
      <c r="AG70" s="518">
        <f t="shared" si="8"/>
        <v>82</v>
      </c>
      <c r="AH70" s="25"/>
      <c r="AI70" s="25"/>
      <c r="AJ70" s="25"/>
      <c r="AK70" s="25"/>
      <c r="AL70" s="25"/>
      <c r="AM70" s="25"/>
    </row>
    <row r="71" spans="1:39" s="10" customFormat="1" ht="24.75" customHeight="1" x14ac:dyDescent="0.25">
      <c r="A71" s="489" t="s">
        <v>417</v>
      </c>
      <c r="B71" s="490" t="s">
        <v>418</v>
      </c>
      <c r="C71" s="491">
        <f>C72</f>
        <v>10594.699999999997</v>
      </c>
      <c r="D71" s="491">
        <f t="shared" ref="D71:J71" si="20">D72</f>
        <v>6409.5</v>
      </c>
      <c r="E71" s="491">
        <f t="shared" si="20"/>
        <v>260</v>
      </c>
      <c r="F71" s="491">
        <f t="shared" si="20"/>
        <v>3398.8999999999996</v>
      </c>
      <c r="G71" s="491">
        <f t="shared" si="20"/>
        <v>0</v>
      </c>
      <c r="H71" s="491">
        <f t="shared" si="20"/>
        <v>0</v>
      </c>
      <c r="I71" s="491">
        <f t="shared" si="20"/>
        <v>0</v>
      </c>
      <c r="J71" s="491">
        <f t="shared" si="20"/>
        <v>0</v>
      </c>
      <c r="K71" s="585"/>
      <c r="L71" s="491">
        <f t="shared" ref="L71:AE71" si="21">L72</f>
        <v>0</v>
      </c>
      <c r="M71" s="491">
        <f t="shared" si="21"/>
        <v>7509.3999999999987</v>
      </c>
      <c r="N71" s="492">
        <f t="shared" si="21"/>
        <v>-630.00000000000023</v>
      </c>
      <c r="O71" s="491">
        <f t="shared" si="21"/>
        <v>250</v>
      </c>
      <c r="P71" s="491">
        <f t="shared" si="21"/>
        <v>0</v>
      </c>
      <c r="Q71" s="491">
        <f t="shared" si="21"/>
        <v>0</v>
      </c>
      <c r="R71" s="491">
        <f t="shared" si="21"/>
        <v>126.9</v>
      </c>
      <c r="S71" s="491">
        <f t="shared" si="21"/>
        <v>15.2</v>
      </c>
      <c r="T71" s="491">
        <f t="shared" si="21"/>
        <v>0</v>
      </c>
      <c r="U71" s="512">
        <f t="shared" si="5"/>
        <v>142.1</v>
      </c>
      <c r="V71" s="491">
        <f t="shared" si="21"/>
        <v>0</v>
      </c>
      <c r="W71" s="491">
        <f t="shared" si="21"/>
        <v>2006.1</v>
      </c>
      <c r="X71" s="491">
        <f t="shared" si="21"/>
        <v>0</v>
      </c>
      <c r="Y71" s="491">
        <f t="shared" si="21"/>
        <v>0</v>
      </c>
      <c r="Z71" s="586">
        <f t="shared" si="6"/>
        <v>9907.5999999999985</v>
      </c>
      <c r="AA71" s="491">
        <f t="shared" si="21"/>
        <v>0</v>
      </c>
      <c r="AB71" s="545">
        <f t="shared" si="21"/>
        <v>1567.5</v>
      </c>
      <c r="AC71" s="524"/>
      <c r="AD71" s="518">
        <f t="shared" si="7"/>
        <v>11475.099999999999</v>
      </c>
      <c r="AE71" s="584">
        <f t="shared" si="21"/>
        <v>0</v>
      </c>
      <c r="AF71" s="584"/>
      <c r="AG71" s="518">
        <f t="shared" si="8"/>
        <v>11475.099999999999</v>
      </c>
      <c r="AH71" s="354"/>
      <c r="AI71" s="354"/>
      <c r="AJ71" s="354"/>
      <c r="AK71" s="354"/>
      <c r="AL71" s="354"/>
      <c r="AM71" s="354"/>
    </row>
    <row r="72" spans="1:39" s="10" customFormat="1" ht="24.75" customHeight="1" x14ac:dyDescent="0.25">
      <c r="A72" s="495" t="s">
        <v>419</v>
      </c>
      <c r="B72" s="496" t="s">
        <v>420</v>
      </c>
      <c r="C72" s="547">
        <f>C73+C74+C75+C76+C77+C78+C79+C80+C81+C82+C83+C84+C85+C86+C87</f>
        <v>10594.699999999997</v>
      </c>
      <c r="D72" s="547">
        <f>D73+D74+D75+D76+D77+D78+D79+D80+D81+D82+D83+D84+D85+D86+D87</f>
        <v>6409.5</v>
      </c>
      <c r="E72" s="547">
        <f t="shared" ref="E72:H72" si="22">E73+E74+E75+E76+E77+E78+E79+E80+E81+E82+E83+E84+E85+E86+E87</f>
        <v>260</v>
      </c>
      <c r="F72" s="547">
        <f t="shared" si="22"/>
        <v>3398.8999999999996</v>
      </c>
      <c r="G72" s="547">
        <f t="shared" si="22"/>
        <v>0</v>
      </c>
      <c r="H72" s="547">
        <f t="shared" si="22"/>
        <v>0</v>
      </c>
      <c r="I72" s="547">
        <f t="shared" ref="I72:J72" si="23">I73+I74+I75+I76+I77+I78+I79+I80+I81+I82+I83+I84+I85</f>
        <v>0</v>
      </c>
      <c r="J72" s="547">
        <f t="shared" si="23"/>
        <v>0</v>
      </c>
      <c r="K72" s="548"/>
      <c r="L72" s="547">
        <f t="shared" ref="L72:AA72" si="24">L73+L74+L75+L76+L77+L78+L79+L80+L81+L82+L83+L84+L85</f>
        <v>0</v>
      </c>
      <c r="M72" s="547">
        <f>M73+M74+M75+M76+M77+M78+M79+M80+M81+M82+M83+M84+M85+M86+M87</f>
        <v>7509.3999999999987</v>
      </c>
      <c r="N72" s="549">
        <f t="shared" ref="N72:T72" si="25">N73+N74+N75+N76+N77+N78+N79+N80+N81+N82+N83+N84+N85+N86+N87</f>
        <v>-630.00000000000023</v>
      </c>
      <c r="O72" s="547">
        <f t="shared" si="25"/>
        <v>250</v>
      </c>
      <c r="P72" s="547">
        <f t="shared" si="25"/>
        <v>0</v>
      </c>
      <c r="Q72" s="547">
        <f t="shared" si="25"/>
        <v>0</v>
      </c>
      <c r="R72" s="547">
        <f t="shared" si="25"/>
        <v>126.9</v>
      </c>
      <c r="S72" s="547">
        <f t="shared" si="25"/>
        <v>15.2</v>
      </c>
      <c r="T72" s="547">
        <f t="shared" si="25"/>
        <v>0</v>
      </c>
      <c r="U72" s="512">
        <f>Q72+R72+S72+T72</f>
        <v>142.1</v>
      </c>
      <c r="V72" s="547">
        <f>V73+V74+V75+V76+V77+V78+V79+V80+V81+V82+V83+V84+V85+V86+V87</f>
        <v>0</v>
      </c>
      <c r="W72" s="547">
        <f>W73+W74+W75+W76+W77+W78+W79+W80+W81+W82+W83+W84+W85+W86+W87</f>
        <v>2006.1</v>
      </c>
      <c r="X72" s="547">
        <f t="shared" si="24"/>
        <v>0</v>
      </c>
      <c r="Y72" s="547">
        <f t="shared" si="24"/>
        <v>0</v>
      </c>
      <c r="Z72" s="499">
        <f>M72+O72+U72+V72+W72+X72</f>
        <v>9907.5999999999985</v>
      </c>
      <c r="AA72" s="547">
        <f t="shared" si="24"/>
        <v>0</v>
      </c>
      <c r="AB72" s="545">
        <f>AB73+AB74+AB75+AB76+AB77+AB78+AB79+AB80+AB81+AB82+AB83+AB84+AB85+AB86+AB87</f>
        <v>1567.5</v>
      </c>
      <c r="AC72" s="524"/>
      <c r="AD72" s="518">
        <f>Z72+AB72</f>
        <v>11475.099999999999</v>
      </c>
      <c r="AE72" s="520">
        <f>AE73+AE74+AE75+AE76+AE77+AE78+AE79+AE80+AE81+AE82+AE83+AE84+AE85</f>
        <v>0</v>
      </c>
      <c r="AF72" s="520"/>
      <c r="AG72" s="518">
        <f>AD72+AE72</f>
        <v>11475.099999999999</v>
      </c>
      <c r="AH72" s="354"/>
      <c r="AI72" s="354"/>
      <c r="AJ72" s="354"/>
      <c r="AK72" s="354"/>
      <c r="AL72" s="354"/>
      <c r="AM72" s="354"/>
    </row>
    <row r="73" spans="1:39" ht="24.75" customHeight="1" x14ac:dyDescent="0.25">
      <c r="A73" s="363" t="s">
        <v>421</v>
      </c>
      <c r="B73" s="364" t="s">
        <v>422</v>
      </c>
      <c r="C73" s="502">
        <v>4593.2</v>
      </c>
      <c r="D73" s="511">
        <v>4169.5</v>
      </c>
      <c r="E73" s="511"/>
      <c r="F73" s="511">
        <v>423.7</v>
      </c>
      <c r="G73" s="511"/>
      <c r="H73" s="511"/>
      <c r="I73" s="511"/>
      <c r="J73" s="511"/>
      <c r="K73" s="550" t="s">
        <v>423</v>
      </c>
      <c r="L73" s="569"/>
      <c r="M73" s="578">
        <f>5868.3-931.3+540</f>
        <v>5477</v>
      </c>
      <c r="N73" s="577">
        <v>-439.90000000000009</v>
      </c>
      <c r="O73" s="578"/>
      <c r="P73" s="579"/>
      <c r="Q73" s="569"/>
      <c r="R73" s="569"/>
      <c r="S73" s="569"/>
      <c r="T73" s="569"/>
      <c r="U73" s="512">
        <f t="shared" si="5"/>
        <v>0</v>
      </c>
      <c r="V73" s="539"/>
      <c r="W73" s="539">
        <f>202.1-202.1</f>
        <v>0</v>
      </c>
      <c r="X73" s="556"/>
      <c r="Y73" s="556"/>
      <c r="Z73" s="514">
        <f t="shared" si="6"/>
        <v>5477</v>
      </c>
      <c r="AA73" s="557"/>
      <c r="AB73" s="587">
        <f>538+931.3-540</f>
        <v>929.3</v>
      </c>
      <c r="AC73" s="541" t="s">
        <v>424</v>
      </c>
      <c r="AD73" s="518">
        <f t="shared" si="7"/>
        <v>6406.3</v>
      </c>
      <c r="AE73" s="520"/>
      <c r="AF73" s="520"/>
      <c r="AG73" s="518">
        <f t="shared" si="8"/>
        <v>6406.3</v>
      </c>
      <c r="AH73" s="25"/>
      <c r="AI73" s="25"/>
      <c r="AJ73" s="25"/>
      <c r="AK73" s="25"/>
      <c r="AL73" s="25"/>
      <c r="AM73" s="25"/>
    </row>
    <row r="74" spans="1:39" ht="24.75" customHeight="1" x14ac:dyDescent="0.25">
      <c r="A74" s="363" t="s">
        <v>425</v>
      </c>
      <c r="B74" s="364" t="s">
        <v>426</v>
      </c>
      <c r="C74" s="502">
        <v>366.5</v>
      </c>
      <c r="D74" s="511">
        <v>311.5</v>
      </c>
      <c r="E74" s="511"/>
      <c r="F74" s="511">
        <v>55</v>
      </c>
      <c r="G74" s="511"/>
      <c r="H74" s="511"/>
      <c r="I74" s="511"/>
      <c r="J74" s="511"/>
      <c r="K74" s="566" t="s">
        <v>427</v>
      </c>
      <c r="L74" s="92"/>
      <c r="M74" s="578">
        <f>233.2-16.3+80</f>
        <v>296.89999999999998</v>
      </c>
      <c r="N74" s="577">
        <f t="shared" ref="N74:N86" si="26">M74-D74</f>
        <v>-14.600000000000023</v>
      </c>
      <c r="O74" s="578"/>
      <c r="P74" s="579"/>
      <c r="Q74" s="569"/>
      <c r="R74" s="569"/>
      <c r="S74" s="569"/>
      <c r="T74" s="569"/>
      <c r="U74" s="512">
        <f t="shared" si="5"/>
        <v>0</v>
      </c>
      <c r="V74" s="539"/>
      <c r="W74" s="539"/>
      <c r="X74" s="556"/>
      <c r="Y74" s="556"/>
      <c r="Z74" s="514">
        <f t="shared" si="6"/>
        <v>296.89999999999998</v>
      </c>
      <c r="AA74" s="557"/>
      <c r="AB74" s="587">
        <f>199+16.3-80</f>
        <v>135.30000000000001</v>
      </c>
      <c r="AC74" s="541" t="s">
        <v>428</v>
      </c>
      <c r="AD74" s="518">
        <f t="shared" si="7"/>
        <v>432.2</v>
      </c>
      <c r="AE74" s="519"/>
      <c r="AF74" s="520"/>
      <c r="AG74" s="518">
        <f t="shared" si="8"/>
        <v>432.2</v>
      </c>
      <c r="AH74" s="25"/>
      <c r="AI74" s="25"/>
      <c r="AJ74" s="25"/>
      <c r="AK74" s="25"/>
      <c r="AL74" s="25"/>
      <c r="AM74" s="25"/>
    </row>
    <row r="75" spans="1:39" s="16" customFormat="1" ht="24.75" customHeight="1" x14ac:dyDescent="0.25">
      <c r="A75" s="363" t="s">
        <v>429</v>
      </c>
      <c r="B75" s="364" t="s">
        <v>430</v>
      </c>
      <c r="C75" s="559">
        <v>224.9</v>
      </c>
      <c r="D75" s="559">
        <v>224.9</v>
      </c>
      <c r="E75" s="559"/>
      <c r="F75" s="559"/>
      <c r="G75" s="559"/>
      <c r="H75" s="559"/>
      <c r="I75" s="559"/>
      <c r="J75" s="559"/>
      <c r="K75" s="550" t="s">
        <v>431</v>
      </c>
      <c r="L75" s="559"/>
      <c r="M75" s="588">
        <v>251.2</v>
      </c>
      <c r="N75" s="577">
        <f t="shared" si="26"/>
        <v>26.299999999999983</v>
      </c>
      <c r="O75" s="578"/>
      <c r="P75" s="579"/>
      <c r="Q75" s="589"/>
      <c r="R75" s="589"/>
      <c r="S75" s="589"/>
      <c r="T75" s="589"/>
      <c r="U75" s="512">
        <f t="shared" si="5"/>
        <v>0</v>
      </c>
      <c r="V75" s="539"/>
      <c r="W75" s="539"/>
      <c r="X75" s="513"/>
      <c r="Y75" s="513"/>
      <c r="Z75" s="514">
        <f t="shared" si="6"/>
        <v>251.2</v>
      </c>
      <c r="AA75" s="559"/>
      <c r="AB75" s="533">
        <v>214.8</v>
      </c>
      <c r="AC75" s="541" t="s">
        <v>432</v>
      </c>
      <c r="AD75" s="518">
        <f t="shared" si="7"/>
        <v>466</v>
      </c>
      <c r="AE75" s="519"/>
      <c r="AF75" s="520"/>
      <c r="AG75" s="518">
        <f t="shared" si="8"/>
        <v>466</v>
      </c>
      <c r="AH75" s="501"/>
      <c r="AI75" s="501"/>
      <c r="AJ75" s="501"/>
      <c r="AK75" s="501"/>
      <c r="AL75" s="501"/>
      <c r="AM75" s="501"/>
    </row>
    <row r="76" spans="1:39" ht="24.75" customHeight="1" x14ac:dyDescent="0.25">
      <c r="A76" s="363" t="s">
        <v>433</v>
      </c>
      <c r="B76" s="364" t="s">
        <v>434</v>
      </c>
      <c r="C76" s="502">
        <v>20</v>
      </c>
      <c r="D76" s="511">
        <v>20</v>
      </c>
      <c r="E76" s="511"/>
      <c r="F76" s="511"/>
      <c r="G76" s="511"/>
      <c r="H76" s="511"/>
      <c r="I76" s="511"/>
      <c r="J76" s="511"/>
      <c r="K76" s="505" t="s">
        <v>435</v>
      </c>
      <c r="L76" s="92"/>
      <c r="M76" s="578">
        <v>40</v>
      </c>
      <c r="N76" s="577">
        <f t="shared" si="26"/>
        <v>20</v>
      </c>
      <c r="O76" s="578"/>
      <c r="P76" s="579">
        <f>O76-E76</f>
        <v>0</v>
      </c>
      <c r="Q76" s="569"/>
      <c r="R76" s="569"/>
      <c r="S76" s="569"/>
      <c r="T76" s="569"/>
      <c r="U76" s="512">
        <f t="shared" si="5"/>
        <v>0</v>
      </c>
      <c r="V76" s="539"/>
      <c r="W76" s="539">
        <v>0</v>
      </c>
      <c r="X76" s="513"/>
      <c r="Y76" s="513"/>
      <c r="Z76" s="514">
        <f t="shared" si="6"/>
        <v>40</v>
      </c>
      <c r="AA76" s="92"/>
      <c r="AB76" s="533">
        <v>0</v>
      </c>
      <c r="AC76" s="541"/>
      <c r="AD76" s="518">
        <f t="shared" si="7"/>
        <v>40</v>
      </c>
      <c r="AE76" s="519"/>
      <c r="AF76" s="520"/>
      <c r="AG76" s="518">
        <f t="shared" si="8"/>
        <v>40</v>
      </c>
      <c r="AH76" s="25"/>
      <c r="AI76" s="25"/>
      <c r="AJ76" s="25"/>
      <c r="AK76" s="25"/>
      <c r="AL76" s="25"/>
      <c r="AM76" s="25"/>
    </row>
    <row r="77" spans="1:39" s="16" customFormat="1" ht="24.75" hidden="1" customHeight="1" x14ac:dyDescent="0.25">
      <c r="A77" s="363" t="s">
        <v>436</v>
      </c>
      <c r="B77" s="364" t="s">
        <v>437</v>
      </c>
      <c r="C77" s="559">
        <v>492.4</v>
      </c>
      <c r="D77" s="559"/>
      <c r="E77" s="559"/>
      <c r="F77" s="559">
        <v>105</v>
      </c>
      <c r="G77" s="559"/>
      <c r="H77" s="559"/>
      <c r="I77" s="559"/>
      <c r="J77" s="559"/>
      <c r="K77" s="590"/>
      <c r="L77" s="559"/>
      <c r="M77" s="589"/>
      <c r="N77" s="577">
        <f t="shared" si="26"/>
        <v>0</v>
      </c>
      <c r="O77" s="578"/>
      <c r="P77" s="579">
        <f>O77-E77</f>
        <v>0</v>
      </c>
      <c r="Q77" s="589"/>
      <c r="R77" s="589"/>
      <c r="S77" s="589"/>
      <c r="T77" s="589"/>
      <c r="U77" s="512">
        <f t="shared" si="5"/>
        <v>0</v>
      </c>
      <c r="V77" s="539"/>
      <c r="W77" s="539"/>
      <c r="X77" s="556"/>
      <c r="Y77" s="556"/>
      <c r="Z77" s="514">
        <f>M77+O77+U77+V77+W77+X77</f>
        <v>0</v>
      </c>
      <c r="AA77" s="591"/>
      <c r="AB77" s="555"/>
      <c r="AC77" s="526"/>
      <c r="AD77" s="518">
        <f t="shared" si="7"/>
        <v>0</v>
      </c>
      <c r="AE77" s="519"/>
      <c r="AF77" s="520"/>
      <c r="AG77" s="518">
        <f t="shared" si="8"/>
        <v>0</v>
      </c>
      <c r="AH77" s="501"/>
      <c r="AI77" s="501"/>
      <c r="AJ77" s="501"/>
      <c r="AK77" s="501"/>
      <c r="AL77" s="501"/>
      <c r="AM77" s="501"/>
    </row>
    <row r="78" spans="1:39" s="16" customFormat="1" ht="24.75" hidden="1" customHeight="1" x14ac:dyDescent="0.25">
      <c r="A78" s="363" t="s">
        <v>438</v>
      </c>
      <c r="B78" s="364" t="s">
        <v>439</v>
      </c>
      <c r="C78" s="559">
        <v>12</v>
      </c>
      <c r="D78" s="559">
        <v>12</v>
      </c>
      <c r="E78" s="559"/>
      <c r="F78" s="559"/>
      <c r="G78" s="559"/>
      <c r="H78" s="559"/>
      <c r="I78" s="559"/>
      <c r="J78" s="559"/>
      <c r="K78" s="505"/>
      <c r="L78" s="559"/>
      <c r="M78" s="589"/>
      <c r="N78" s="577">
        <f t="shared" si="26"/>
        <v>-12</v>
      </c>
      <c r="O78" s="589"/>
      <c r="P78" s="579"/>
      <c r="Q78" s="589"/>
      <c r="R78" s="589"/>
      <c r="S78" s="589"/>
      <c r="T78" s="589"/>
      <c r="U78" s="512">
        <f t="shared" ref="U78:U87" si="27">Q78+R78+S78+T78</f>
        <v>0</v>
      </c>
      <c r="V78" s="539"/>
      <c r="W78" s="539"/>
      <c r="X78" s="513"/>
      <c r="Y78" s="513"/>
      <c r="Z78" s="514">
        <f t="shared" ref="Z78:Z84" si="28">M78+O78+U78+V78+W78+X78</f>
        <v>0</v>
      </c>
      <c r="AA78" s="559"/>
      <c r="AB78" s="592"/>
      <c r="AC78" s="524"/>
      <c r="AD78" s="518">
        <f t="shared" ref="AD78:AD87" si="29">Z78+AB78</f>
        <v>0</v>
      </c>
      <c r="AE78" s="519"/>
      <c r="AF78" s="520"/>
      <c r="AG78" s="518">
        <f t="shared" ref="AG78:AG87" si="30">AD78+AE78</f>
        <v>0</v>
      </c>
      <c r="AH78" s="501"/>
      <c r="AI78" s="501"/>
      <c r="AJ78" s="501"/>
      <c r="AK78" s="501"/>
      <c r="AL78" s="501"/>
      <c r="AM78" s="501"/>
    </row>
    <row r="79" spans="1:39" ht="24.75" customHeight="1" x14ac:dyDescent="0.25">
      <c r="A79" s="593" t="s">
        <v>440</v>
      </c>
      <c r="B79" s="364" t="s">
        <v>441</v>
      </c>
      <c r="C79" s="502">
        <v>2094.6999999999998</v>
      </c>
      <c r="D79" s="511"/>
      <c r="E79" s="511"/>
      <c r="F79" s="511">
        <v>2094.6999999999998</v>
      </c>
      <c r="G79" s="511"/>
      <c r="H79" s="511"/>
      <c r="I79" s="511"/>
      <c r="J79" s="511"/>
      <c r="K79" s="505"/>
      <c r="L79" s="92"/>
      <c r="M79" s="589"/>
      <c r="N79" s="577">
        <f t="shared" si="26"/>
        <v>0</v>
      </c>
      <c r="O79" s="578"/>
      <c r="P79" s="579"/>
      <c r="Q79" s="569"/>
      <c r="R79" s="569"/>
      <c r="S79" s="569"/>
      <c r="T79" s="569"/>
      <c r="U79" s="512">
        <f t="shared" si="27"/>
        <v>0</v>
      </c>
      <c r="V79" s="539"/>
      <c r="W79" s="539">
        <v>2006.1</v>
      </c>
      <c r="X79" s="513"/>
      <c r="Y79" s="513"/>
      <c r="Z79" s="514">
        <f t="shared" si="28"/>
        <v>2006.1</v>
      </c>
      <c r="AA79" s="92"/>
      <c r="AB79" s="533"/>
      <c r="AC79" s="526"/>
      <c r="AD79" s="518">
        <f t="shared" si="29"/>
        <v>2006.1</v>
      </c>
      <c r="AE79" s="519"/>
      <c r="AF79" s="520"/>
      <c r="AG79" s="518">
        <f t="shared" si="30"/>
        <v>2006.1</v>
      </c>
      <c r="AH79" s="25"/>
      <c r="AI79" s="25"/>
      <c r="AJ79" s="25"/>
      <c r="AK79" s="25"/>
      <c r="AL79" s="25"/>
      <c r="AM79" s="25"/>
    </row>
    <row r="80" spans="1:39" s="16" customFormat="1" ht="24.75" customHeight="1" x14ac:dyDescent="0.25">
      <c r="A80" s="363" t="s">
        <v>442</v>
      </c>
      <c r="B80" s="364" t="s">
        <v>443</v>
      </c>
      <c r="C80" s="594">
        <v>737.8</v>
      </c>
      <c r="D80" s="594">
        <v>541.70000000000005</v>
      </c>
      <c r="E80" s="594"/>
      <c r="F80" s="594">
        <v>196.1</v>
      </c>
      <c r="G80" s="559"/>
      <c r="H80" s="559"/>
      <c r="I80" s="559"/>
      <c r="J80" s="559"/>
      <c r="K80" s="595"/>
      <c r="L80" s="589"/>
      <c r="M80" s="589">
        <v>351.4</v>
      </c>
      <c r="N80" s="577">
        <f t="shared" si="26"/>
        <v>-190.30000000000007</v>
      </c>
      <c r="O80" s="589"/>
      <c r="P80" s="579"/>
      <c r="Q80" s="589"/>
      <c r="R80" s="589"/>
      <c r="S80" s="589"/>
      <c r="T80" s="589"/>
      <c r="U80" s="512">
        <f t="shared" si="27"/>
        <v>0</v>
      </c>
      <c r="V80" s="539"/>
      <c r="W80" s="539"/>
      <c r="X80" s="513"/>
      <c r="Y80" s="513"/>
      <c r="Z80" s="514">
        <f t="shared" si="28"/>
        <v>351.4</v>
      </c>
      <c r="AA80" s="559"/>
      <c r="AB80" s="575"/>
      <c r="AC80" s="546"/>
      <c r="AD80" s="518">
        <f t="shared" si="29"/>
        <v>351.4</v>
      </c>
      <c r="AE80" s="519"/>
      <c r="AF80" s="520"/>
      <c r="AG80" s="518">
        <f t="shared" si="30"/>
        <v>351.4</v>
      </c>
      <c r="AH80" s="501"/>
      <c r="AI80" s="501"/>
      <c r="AJ80" s="501"/>
      <c r="AK80" s="501"/>
      <c r="AL80" s="501"/>
      <c r="AM80" s="501"/>
    </row>
    <row r="81" spans="1:39" ht="24.75" customHeight="1" x14ac:dyDescent="0.25">
      <c r="A81" s="363" t="s">
        <v>444</v>
      </c>
      <c r="B81" s="364" t="s">
        <v>445</v>
      </c>
      <c r="C81" s="502">
        <v>750.9</v>
      </c>
      <c r="D81" s="511">
        <v>50</v>
      </c>
      <c r="E81" s="511">
        <v>260</v>
      </c>
      <c r="F81" s="511">
        <v>440.9</v>
      </c>
      <c r="G81" s="511"/>
      <c r="H81" s="511"/>
      <c r="I81" s="511"/>
      <c r="J81" s="511"/>
      <c r="K81" s="566" t="s">
        <v>446</v>
      </c>
      <c r="L81" s="569"/>
      <c r="M81" s="540">
        <v>30</v>
      </c>
      <c r="N81" s="577">
        <f t="shared" si="26"/>
        <v>-20</v>
      </c>
      <c r="O81" s="578">
        <v>250</v>
      </c>
      <c r="P81" s="579"/>
      <c r="Q81" s="569"/>
      <c r="R81" s="569"/>
      <c r="S81" s="569"/>
      <c r="T81" s="569"/>
      <c r="U81" s="512">
        <f t="shared" si="27"/>
        <v>0</v>
      </c>
      <c r="V81" s="539"/>
      <c r="W81" s="539"/>
      <c r="X81" s="513"/>
      <c r="Y81" s="513"/>
      <c r="Z81" s="514">
        <f t="shared" si="28"/>
        <v>280</v>
      </c>
      <c r="AA81" s="92"/>
      <c r="AB81" s="533">
        <f>35+45</f>
        <v>80</v>
      </c>
      <c r="AC81" s="541" t="s">
        <v>447</v>
      </c>
      <c r="AD81" s="518">
        <f t="shared" si="29"/>
        <v>360</v>
      </c>
      <c r="AE81" s="519"/>
      <c r="AF81" s="520"/>
      <c r="AG81" s="518">
        <f t="shared" si="30"/>
        <v>360</v>
      </c>
      <c r="AH81" s="25"/>
      <c r="AI81" s="25"/>
      <c r="AJ81" s="25"/>
      <c r="AK81" s="25"/>
      <c r="AL81" s="25"/>
      <c r="AM81" s="25"/>
    </row>
    <row r="82" spans="1:39" ht="24.75" customHeight="1" x14ac:dyDescent="0.25">
      <c r="A82" s="363" t="s">
        <v>448</v>
      </c>
      <c r="B82" s="364" t="s">
        <v>449</v>
      </c>
      <c r="C82" s="502">
        <v>528</v>
      </c>
      <c r="D82" s="511">
        <v>478.6</v>
      </c>
      <c r="E82" s="511"/>
      <c r="F82" s="511">
        <v>49.4</v>
      </c>
      <c r="G82" s="511"/>
      <c r="H82" s="511"/>
      <c r="I82" s="511"/>
      <c r="J82" s="511"/>
      <c r="K82" s="550" t="s">
        <v>450</v>
      </c>
      <c r="L82" s="569"/>
      <c r="M82" s="578">
        <f>617.3-95.9-0.6</f>
        <v>520.79999999999995</v>
      </c>
      <c r="N82" s="577">
        <v>32.799999999999955</v>
      </c>
      <c r="O82" s="578"/>
      <c r="P82" s="579">
        <v>0</v>
      </c>
      <c r="Q82" s="569"/>
      <c r="R82" s="569"/>
      <c r="S82" s="569"/>
      <c r="T82" s="569"/>
      <c r="U82" s="512">
        <f t="shared" si="27"/>
        <v>0</v>
      </c>
      <c r="V82" s="539"/>
      <c r="W82" s="539">
        <f>24.7-24.7</f>
        <v>0</v>
      </c>
      <c r="X82" s="556"/>
      <c r="Y82" s="556"/>
      <c r="Z82" s="514">
        <f t="shared" si="28"/>
        <v>520.79999999999995</v>
      </c>
      <c r="AA82" s="557"/>
      <c r="AB82" s="555">
        <f>95.9+0.6</f>
        <v>96.5</v>
      </c>
      <c r="AC82" s="526" t="s">
        <v>451</v>
      </c>
      <c r="AD82" s="518">
        <f t="shared" si="29"/>
        <v>617.29999999999995</v>
      </c>
      <c r="AE82" s="520"/>
      <c r="AF82" s="520"/>
      <c r="AG82" s="518">
        <f t="shared" si="30"/>
        <v>617.29999999999995</v>
      </c>
      <c r="AH82" s="25"/>
      <c r="AI82" s="25"/>
      <c r="AJ82" s="25"/>
      <c r="AK82" s="25"/>
      <c r="AL82" s="25"/>
      <c r="AM82" s="25"/>
    </row>
    <row r="83" spans="1:39" ht="24.75" hidden="1" customHeight="1" x14ac:dyDescent="0.25">
      <c r="A83" s="363" t="s">
        <v>452</v>
      </c>
      <c r="B83" s="364" t="s">
        <v>453</v>
      </c>
      <c r="C83" s="502"/>
      <c r="D83" s="511"/>
      <c r="E83" s="511"/>
      <c r="F83" s="511"/>
      <c r="G83" s="511"/>
      <c r="H83" s="511"/>
      <c r="I83" s="511"/>
      <c r="J83" s="511"/>
      <c r="K83" s="595"/>
      <c r="L83" s="569"/>
      <c r="M83" s="540"/>
      <c r="N83" s="577">
        <f t="shared" si="26"/>
        <v>0</v>
      </c>
      <c r="O83" s="578"/>
      <c r="P83" s="579">
        <f>O83-E83</f>
        <v>0</v>
      </c>
      <c r="Q83" s="569"/>
      <c r="R83" s="569"/>
      <c r="S83" s="569"/>
      <c r="T83" s="569"/>
      <c r="U83" s="512">
        <f t="shared" si="27"/>
        <v>0</v>
      </c>
      <c r="V83" s="539"/>
      <c r="W83" s="539"/>
      <c r="X83" s="513"/>
      <c r="Y83" s="513"/>
      <c r="Z83" s="514">
        <f t="shared" si="28"/>
        <v>0</v>
      </c>
      <c r="AA83" s="92"/>
      <c r="AB83" s="533"/>
      <c r="AC83" s="526"/>
      <c r="AD83" s="518">
        <f t="shared" si="29"/>
        <v>0</v>
      </c>
      <c r="AE83" s="519"/>
      <c r="AF83" s="520"/>
      <c r="AG83" s="518">
        <f t="shared" si="30"/>
        <v>0</v>
      </c>
      <c r="AH83" s="25"/>
      <c r="AI83" s="25"/>
      <c r="AJ83" s="25"/>
      <c r="AK83" s="25"/>
      <c r="AL83" s="25"/>
      <c r="AM83" s="25"/>
    </row>
    <row r="84" spans="1:39" ht="24.75" hidden="1" customHeight="1" x14ac:dyDescent="0.25">
      <c r="A84" s="363" t="s">
        <v>454</v>
      </c>
      <c r="B84" s="364" t="s">
        <v>455</v>
      </c>
      <c r="C84" s="502"/>
      <c r="D84" s="511"/>
      <c r="E84" s="511"/>
      <c r="F84" s="511"/>
      <c r="G84" s="511"/>
      <c r="H84" s="511"/>
      <c r="I84" s="511"/>
      <c r="J84" s="511"/>
      <c r="K84" s="595"/>
      <c r="L84" s="569"/>
      <c r="M84" s="540"/>
      <c r="N84" s="577">
        <f t="shared" si="26"/>
        <v>0</v>
      </c>
      <c r="O84" s="578"/>
      <c r="P84" s="579">
        <f>O84-E84</f>
        <v>0</v>
      </c>
      <c r="Q84" s="569"/>
      <c r="R84" s="569"/>
      <c r="S84" s="569"/>
      <c r="T84" s="569"/>
      <c r="U84" s="512">
        <f t="shared" si="27"/>
        <v>0</v>
      </c>
      <c r="V84" s="539"/>
      <c r="W84" s="539"/>
      <c r="X84" s="513"/>
      <c r="Y84" s="513"/>
      <c r="Z84" s="514">
        <f t="shared" si="28"/>
        <v>0</v>
      </c>
      <c r="AA84" s="92"/>
      <c r="AB84" s="533"/>
      <c r="AC84" s="526"/>
      <c r="AD84" s="518">
        <f t="shared" si="29"/>
        <v>0</v>
      </c>
      <c r="AE84" s="519"/>
      <c r="AF84" s="520"/>
      <c r="AG84" s="518">
        <f t="shared" si="30"/>
        <v>0</v>
      </c>
      <c r="AH84" s="25"/>
      <c r="AI84" s="25"/>
      <c r="AJ84" s="25"/>
      <c r="AK84" s="25"/>
      <c r="AL84" s="25"/>
      <c r="AM84" s="25"/>
    </row>
    <row r="85" spans="1:39" ht="24.75" customHeight="1" x14ac:dyDescent="0.25">
      <c r="A85" s="363" t="s">
        <v>456</v>
      </c>
      <c r="B85" s="364" t="s">
        <v>457</v>
      </c>
      <c r="C85" s="502">
        <v>146.4</v>
      </c>
      <c r="D85" s="511">
        <v>7.5</v>
      </c>
      <c r="E85" s="511"/>
      <c r="F85" s="511"/>
      <c r="G85" s="511"/>
      <c r="H85" s="511"/>
      <c r="I85" s="511"/>
      <c r="J85" s="511"/>
      <c r="K85" s="550" t="s">
        <v>458</v>
      </c>
      <c r="L85" s="569"/>
      <c r="M85" s="578">
        <f>6.9+15</f>
        <v>21.9</v>
      </c>
      <c r="N85" s="577">
        <f t="shared" si="26"/>
        <v>14.399999999999999</v>
      </c>
      <c r="O85" s="578"/>
      <c r="P85" s="579">
        <f>O85-E85</f>
        <v>0</v>
      </c>
      <c r="Q85" s="569"/>
      <c r="R85" s="569">
        <v>126.9</v>
      </c>
      <c r="S85" s="569">
        <v>15.2</v>
      </c>
      <c r="T85" s="569"/>
      <c r="U85" s="512">
        <f t="shared" si="27"/>
        <v>142.1</v>
      </c>
      <c r="V85" s="539"/>
      <c r="W85" s="539"/>
      <c r="X85" s="513"/>
      <c r="Y85" s="513"/>
      <c r="Z85" s="514">
        <f>M85+O85+U85+V85+W85+X85</f>
        <v>164</v>
      </c>
      <c r="AA85" s="92"/>
      <c r="AB85" s="533">
        <f>20-15</f>
        <v>5</v>
      </c>
      <c r="AC85" s="541" t="s">
        <v>459</v>
      </c>
      <c r="AD85" s="518">
        <f t="shared" si="29"/>
        <v>169</v>
      </c>
      <c r="AE85" s="519"/>
      <c r="AF85" s="520"/>
      <c r="AG85" s="518">
        <f t="shared" si="30"/>
        <v>169</v>
      </c>
      <c r="AH85" s="25"/>
      <c r="AI85" s="25"/>
      <c r="AJ85" s="25"/>
      <c r="AK85" s="25"/>
      <c r="AL85" s="25"/>
      <c r="AM85" s="25"/>
    </row>
    <row r="86" spans="1:39" ht="24.75" customHeight="1" x14ac:dyDescent="0.25">
      <c r="A86" s="363" t="s">
        <v>460</v>
      </c>
      <c r="B86" s="364" t="s">
        <v>461</v>
      </c>
      <c r="C86" s="502">
        <v>487.1</v>
      </c>
      <c r="D86" s="511">
        <v>461.7</v>
      </c>
      <c r="E86" s="511"/>
      <c r="F86" s="511">
        <v>25.4</v>
      </c>
      <c r="G86" s="511"/>
      <c r="H86" s="511"/>
      <c r="I86" s="511"/>
      <c r="J86" s="511"/>
      <c r="K86" s="596" t="s">
        <v>462</v>
      </c>
      <c r="L86" s="569"/>
      <c r="M86" s="569">
        <f>494-79</f>
        <v>415</v>
      </c>
      <c r="N86" s="577">
        <f t="shared" si="26"/>
        <v>-46.699999999999989</v>
      </c>
      <c r="O86" s="578"/>
      <c r="P86" s="579"/>
      <c r="Q86" s="569"/>
      <c r="R86" s="569"/>
      <c r="S86" s="569"/>
      <c r="T86" s="569"/>
      <c r="U86" s="512">
        <f t="shared" si="27"/>
        <v>0</v>
      </c>
      <c r="V86" s="539"/>
      <c r="W86" s="539"/>
      <c r="X86" s="513"/>
      <c r="Y86" s="513"/>
      <c r="Z86" s="514">
        <f t="shared" ref="Z86:Z87" si="31">M86+O86+U86+V86+W86+X86</f>
        <v>415</v>
      </c>
      <c r="AA86" s="92"/>
      <c r="AB86" s="533">
        <f>6.9+79+3</f>
        <v>88.9</v>
      </c>
      <c r="AC86" s="597" t="s">
        <v>463</v>
      </c>
      <c r="AD86" s="518">
        <f t="shared" si="29"/>
        <v>503.9</v>
      </c>
      <c r="AE86" s="519"/>
      <c r="AF86" s="520"/>
      <c r="AG86" s="518">
        <f t="shared" si="30"/>
        <v>503.9</v>
      </c>
      <c r="AH86" s="25"/>
      <c r="AI86" s="25"/>
      <c r="AJ86" s="25"/>
      <c r="AK86" s="25"/>
      <c r="AL86" s="25"/>
      <c r="AM86" s="25"/>
    </row>
    <row r="87" spans="1:39" ht="24.75" customHeight="1" x14ac:dyDescent="0.25">
      <c r="A87" s="363" t="s">
        <v>464</v>
      </c>
      <c r="B87" s="364" t="s">
        <v>465</v>
      </c>
      <c r="C87" s="502">
        <v>140.80000000000001</v>
      </c>
      <c r="D87" s="511">
        <v>132.1</v>
      </c>
      <c r="E87" s="511"/>
      <c r="F87" s="511">
        <v>8.6999999999999993</v>
      </c>
      <c r="G87" s="511"/>
      <c r="H87" s="511"/>
      <c r="I87" s="511"/>
      <c r="J87" s="511"/>
      <c r="K87" s="550" t="s">
        <v>466</v>
      </c>
      <c r="L87" s="569"/>
      <c r="M87" s="569">
        <f>122.9-17.7</f>
        <v>105.2</v>
      </c>
      <c r="N87" s="577"/>
      <c r="O87" s="578"/>
      <c r="P87" s="579"/>
      <c r="Q87" s="569"/>
      <c r="R87" s="569"/>
      <c r="S87" s="569"/>
      <c r="T87" s="569"/>
      <c r="U87" s="512">
        <f t="shared" si="27"/>
        <v>0</v>
      </c>
      <c r="V87" s="539"/>
      <c r="W87" s="539"/>
      <c r="X87" s="513"/>
      <c r="Y87" s="513"/>
      <c r="Z87" s="514">
        <f t="shared" si="31"/>
        <v>105.2</v>
      </c>
      <c r="AA87" s="92"/>
      <c r="AB87" s="533">
        <f>17.7</f>
        <v>17.7</v>
      </c>
      <c r="AC87" s="541" t="s">
        <v>467</v>
      </c>
      <c r="AD87" s="518">
        <f t="shared" si="29"/>
        <v>122.9</v>
      </c>
      <c r="AE87" s="519"/>
      <c r="AF87" s="520"/>
      <c r="AG87" s="518">
        <f t="shared" si="30"/>
        <v>122.9</v>
      </c>
      <c r="AH87" s="25"/>
      <c r="AI87" s="25"/>
      <c r="AJ87" s="25"/>
      <c r="AK87" s="25"/>
      <c r="AL87" s="25"/>
      <c r="AM87" s="25"/>
    </row>
    <row r="88" spans="1:39" ht="24.75" customHeight="1" x14ac:dyDescent="0.25">
      <c r="A88" s="25"/>
      <c r="B88" s="427"/>
      <c r="C88" s="28"/>
      <c r="D88" s="28"/>
      <c r="E88" s="28"/>
      <c r="F88" s="28"/>
      <c r="G88" s="28"/>
      <c r="H88" s="28"/>
      <c r="I88" s="28"/>
      <c r="J88" s="28"/>
      <c r="K88" s="28"/>
      <c r="L88" s="28"/>
      <c r="M88" s="598"/>
      <c r="N88" s="599"/>
      <c r="O88" s="600"/>
      <c r="P88" s="601"/>
      <c r="Q88" s="28"/>
      <c r="R88" s="28"/>
      <c r="S88" s="28"/>
      <c r="T88" s="28"/>
      <c r="U88" s="28"/>
      <c r="V88" s="28"/>
      <c r="W88" s="28"/>
      <c r="X88" s="28"/>
      <c r="Y88" s="28"/>
      <c r="Z88" s="25"/>
      <c r="AA88" s="28"/>
      <c r="AB88" s="28"/>
      <c r="AC88" s="602"/>
      <c r="AD88" s="28"/>
      <c r="AE88" s="28"/>
      <c r="AF88" s="28"/>
      <c r="AG88" s="28"/>
      <c r="AH88" s="25"/>
      <c r="AI88" s="25"/>
      <c r="AJ88" s="25"/>
      <c r="AK88" s="25"/>
      <c r="AL88" s="25"/>
      <c r="AM88" s="25"/>
    </row>
    <row r="89" spans="1:39" ht="24.75" customHeight="1" x14ac:dyDescent="0.25">
      <c r="A89" s="25"/>
      <c r="B89" s="427"/>
      <c r="C89" s="28"/>
      <c r="D89" s="28"/>
      <c r="E89" s="28"/>
      <c r="F89" s="28"/>
      <c r="G89" s="28"/>
      <c r="H89" s="28"/>
      <c r="I89" s="28"/>
      <c r="J89" s="28"/>
      <c r="K89" s="28"/>
      <c r="L89" s="28"/>
      <c r="M89" s="598"/>
      <c r="N89" s="599"/>
      <c r="O89" s="600"/>
      <c r="P89" s="601"/>
      <c r="Q89" s="28"/>
      <c r="R89" s="28"/>
      <c r="S89" s="28"/>
      <c r="T89" s="28"/>
      <c r="U89" s="28"/>
      <c r="V89" s="28"/>
      <c r="W89" s="28"/>
      <c r="X89" s="28"/>
      <c r="Y89" s="28"/>
      <c r="Z89" s="25"/>
      <c r="AA89" s="28"/>
      <c r="AB89" s="28"/>
      <c r="AC89" s="602"/>
      <c r="AD89" s="28"/>
      <c r="AE89" s="28"/>
      <c r="AF89" s="28"/>
      <c r="AG89" s="28"/>
      <c r="AH89" s="25"/>
      <c r="AI89" s="25"/>
      <c r="AJ89" s="25"/>
      <c r="AK89" s="25"/>
      <c r="AL89" s="25"/>
      <c r="AM89" s="25"/>
    </row>
    <row r="90" spans="1:39" ht="24.75" customHeight="1" x14ac:dyDescent="0.25">
      <c r="A90" s="25"/>
      <c r="B90" s="427"/>
      <c r="C90" s="28"/>
      <c r="D90" s="28"/>
      <c r="E90" s="28"/>
      <c r="F90" s="28"/>
      <c r="G90" s="28"/>
      <c r="H90" s="28"/>
      <c r="I90" s="28"/>
      <c r="J90" s="28"/>
      <c r="K90" s="28"/>
      <c r="L90" s="28"/>
      <c r="M90" s="598"/>
      <c r="N90" s="599"/>
      <c r="O90" s="600"/>
      <c r="P90" s="601"/>
      <c r="Q90" s="28"/>
      <c r="R90" s="28"/>
      <c r="S90" s="28"/>
      <c r="T90" s="28"/>
      <c r="U90" s="28"/>
      <c r="V90" s="28"/>
      <c r="W90" s="28"/>
      <c r="X90" s="28"/>
      <c r="Y90" s="28"/>
      <c r="Z90" s="25"/>
      <c r="AA90" s="28"/>
      <c r="AB90" s="28"/>
      <c r="AC90" s="602"/>
      <c r="AD90" s="28"/>
      <c r="AE90" s="28"/>
      <c r="AF90" s="28"/>
      <c r="AG90" s="28"/>
      <c r="AH90" s="25"/>
      <c r="AI90" s="25"/>
      <c r="AJ90" s="25"/>
      <c r="AK90" s="25"/>
      <c r="AL90" s="25"/>
      <c r="AM90" s="25"/>
    </row>
    <row r="91" spans="1:39" ht="24.75" customHeight="1" x14ac:dyDescent="0.25">
      <c r="A91" s="25"/>
      <c r="B91" s="427"/>
      <c r="C91" s="28"/>
      <c r="D91" s="28"/>
      <c r="E91" s="28"/>
      <c r="F91" s="28"/>
      <c r="G91" s="28"/>
      <c r="H91" s="28"/>
      <c r="I91" s="28"/>
      <c r="J91" s="28"/>
      <c r="K91" s="28"/>
      <c r="L91" s="28"/>
      <c r="M91" s="598"/>
      <c r="N91" s="599"/>
      <c r="O91" s="600"/>
      <c r="P91" s="601"/>
      <c r="Q91" s="28"/>
      <c r="R91" s="28"/>
      <c r="S91" s="28"/>
      <c r="T91" s="28"/>
      <c r="U91" s="28"/>
      <c r="V91" s="28"/>
      <c r="W91" s="28"/>
      <c r="X91" s="28"/>
      <c r="Y91" s="28"/>
      <c r="Z91" s="25"/>
      <c r="AA91" s="28"/>
      <c r="AB91" s="28"/>
      <c r="AC91" s="602"/>
      <c r="AD91" s="28"/>
      <c r="AE91" s="28"/>
      <c r="AF91" s="28"/>
      <c r="AG91" s="28"/>
      <c r="AH91" s="25"/>
      <c r="AI91" s="25"/>
      <c r="AJ91" s="25"/>
      <c r="AK91" s="25"/>
      <c r="AL91" s="25"/>
      <c r="AM91" s="25"/>
    </row>
    <row r="92" spans="1:39" ht="24.75" customHeight="1" x14ac:dyDescent="0.25">
      <c r="A92" s="25"/>
      <c r="B92" s="427"/>
      <c r="C92" s="28"/>
      <c r="D92" s="28"/>
      <c r="E92" s="28"/>
      <c r="F92" s="28"/>
      <c r="G92" s="28"/>
      <c r="H92" s="28"/>
      <c r="I92" s="28"/>
      <c r="J92" s="28"/>
      <c r="K92" s="28"/>
      <c r="L92" s="28"/>
      <c r="M92" s="598"/>
      <c r="N92" s="599"/>
      <c r="O92" s="600"/>
      <c r="P92" s="601"/>
      <c r="Q92" s="28"/>
      <c r="R92" s="28"/>
      <c r="S92" s="28"/>
      <c r="T92" s="28"/>
      <c r="U92" s="28"/>
      <c r="V92" s="28"/>
      <c r="W92" s="28"/>
      <c r="X92" s="28"/>
      <c r="Y92" s="28"/>
      <c r="Z92" s="25"/>
      <c r="AA92" s="28"/>
      <c r="AB92" s="28"/>
      <c r="AC92" s="602"/>
      <c r="AD92" s="28"/>
      <c r="AE92" s="28"/>
      <c r="AF92" s="28"/>
      <c r="AG92" s="28"/>
      <c r="AH92" s="25"/>
      <c r="AI92" s="25"/>
      <c r="AJ92" s="25"/>
      <c r="AK92" s="25"/>
      <c r="AL92" s="25"/>
      <c r="AM92" s="25"/>
    </row>
    <row r="93" spans="1:39" ht="24.75" customHeight="1" x14ac:dyDescent="0.25">
      <c r="A93" s="25"/>
      <c r="B93" s="427"/>
      <c r="C93" s="28"/>
      <c r="D93" s="28"/>
      <c r="E93" s="28"/>
      <c r="F93" s="28"/>
      <c r="G93" s="28"/>
      <c r="H93" s="28"/>
      <c r="I93" s="28"/>
      <c r="J93" s="28"/>
      <c r="K93" s="28"/>
      <c r="L93" s="28"/>
      <c r="M93" s="598"/>
      <c r="N93" s="599"/>
      <c r="O93" s="600"/>
      <c r="P93" s="601"/>
      <c r="Q93" s="28"/>
      <c r="R93" s="28"/>
      <c r="S93" s="28"/>
      <c r="T93" s="28"/>
      <c r="U93" s="28"/>
      <c r="V93" s="28"/>
      <c r="W93" s="28"/>
      <c r="X93" s="28"/>
      <c r="Y93" s="28"/>
      <c r="Z93" s="25"/>
      <c r="AA93" s="28"/>
      <c r="AB93" s="28"/>
      <c r="AC93" s="602"/>
      <c r="AD93" s="28"/>
      <c r="AE93" s="28"/>
      <c r="AF93" s="28"/>
      <c r="AG93" s="28"/>
      <c r="AH93" s="25"/>
      <c r="AI93" s="25"/>
      <c r="AJ93" s="25"/>
      <c r="AK93" s="25"/>
      <c r="AL93" s="25"/>
      <c r="AM93" s="25"/>
    </row>
    <row r="94" spans="1:39" ht="24.75" customHeight="1" x14ac:dyDescent="0.25">
      <c r="A94" s="25"/>
      <c r="B94" s="427"/>
      <c r="C94" s="28"/>
      <c r="D94" s="28"/>
      <c r="E94" s="28"/>
      <c r="F94" s="28"/>
      <c r="G94" s="28"/>
      <c r="H94" s="28"/>
      <c r="I94" s="28"/>
      <c r="J94" s="28"/>
      <c r="K94" s="28"/>
      <c r="L94" s="28"/>
      <c r="M94" s="598"/>
      <c r="N94" s="599"/>
      <c r="O94" s="600"/>
      <c r="P94" s="601"/>
      <c r="Q94" s="28"/>
      <c r="R94" s="28"/>
      <c r="S94" s="28"/>
      <c r="T94" s="28"/>
      <c r="U94" s="28"/>
      <c r="V94" s="28"/>
      <c r="W94" s="28"/>
      <c r="X94" s="28"/>
      <c r="Y94" s="28"/>
      <c r="Z94" s="25"/>
      <c r="AA94" s="28"/>
      <c r="AB94" s="28"/>
      <c r="AC94" s="602"/>
      <c r="AD94" s="28"/>
      <c r="AE94" s="28"/>
      <c r="AF94" s="28"/>
      <c r="AG94" s="28"/>
      <c r="AH94" s="25"/>
      <c r="AI94" s="25"/>
      <c r="AJ94" s="25"/>
      <c r="AK94" s="25"/>
      <c r="AL94" s="25"/>
      <c r="AM94" s="25"/>
    </row>
    <row r="95" spans="1:39" ht="24.75" customHeight="1" x14ac:dyDescent="0.25">
      <c r="A95" s="25"/>
      <c r="B95" s="427"/>
      <c r="C95" s="28"/>
      <c r="D95" s="28"/>
      <c r="E95" s="28"/>
      <c r="F95" s="28"/>
      <c r="G95" s="28"/>
      <c r="H95" s="28"/>
      <c r="I95" s="28"/>
      <c r="J95" s="28"/>
      <c r="K95" s="28"/>
      <c r="L95" s="28"/>
      <c r="M95" s="598"/>
      <c r="N95" s="599"/>
      <c r="O95" s="600"/>
      <c r="P95" s="601"/>
      <c r="Q95" s="28"/>
      <c r="R95" s="28"/>
      <c r="S95" s="28"/>
      <c r="T95" s="28"/>
      <c r="U95" s="28"/>
      <c r="V95" s="28"/>
      <c r="W95" s="28"/>
      <c r="X95" s="28"/>
      <c r="Y95" s="28"/>
      <c r="Z95" s="25"/>
      <c r="AA95" s="28"/>
      <c r="AB95" s="28"/>
      <c r="AC95" s="602"/>
      <c r="AD95" s="28"/>
      <c r="AE95" s="28"/>
      <c r="AF95" s="28"/>
      <c r="AG95" s="28"/>
      <c r="AH95" s="25"/>
      <c r="AI95" s="25"/>
      <c r="AJ95" s="25"/>
      <c r="AK95" s="25"/>
      <c r="AL95" s="25"/>
      <c r="AM95" s="25"/>
    </row>
    <row r="96" spans="1:39" ht="24.75" customHeight="1" x14ac:dyDescent="0.25">
      <c r="A96" s="25"/>
      <c r="B96" s="427"/>
      <c r="C96" s="28"/>
      <c r="D96" s="28"/>
      <c r="E96" s="28"/>
      <c r="F96" s="28"/>
      <c r="G96" s="28"/>
      <c r="H96" s="28"/>
      <c r="I96" s="28"/>
      <c r="J96" s="28"/>
      <c r="K96" s="28"/>
      <c r="L96" s="28"/>
      <c r="M96" s="598"/>
      <c r="N96" s="599"/>
      <c r="O96" s="600"/>
      <c r="P96" s="601"/>
      <c r="Q96" s="28"/>
      <c r="R96" s="28"/>
      <c r="S96" s="28"/>
      <c r="T96" s="28"/>
      <c r="U96" s="28"/>
      <c r="V96" s="28"/>
      <c r="W96" s="28"/>
      <c r="X96" s="28"/>
      <c r="Y96" s="28"/>
      <c r="Z96" s="25"/>
      <c r="AA96" s="28"/>
      <c r="AB96" s="28"/>
      <c r="AC96" s="602"/>
      <c r="AD96" s="28"/>
      <c r="AE96" s="28"/>
      <c r="AF96" s="28"/>
      <c r="AG96" s="28"/>
      <c r="AH96" s="25"/>
      <c r="AI96" s="25"/>
      <c r="AJ96" s="25"/>
      <c r="AK96" s="25"/>
      <c r="AL96" s="25"/>
      <c r="AM96" s="25"/>
    </row>
    <row r="97" spans="1:39" ht="24.75" customHeight="1" x14ac:dyDescent="0.25">
      <c r="A97" s="25"/>
      <c r="B97" s="427"/>
      <c r="C97" s="28"/>
      <c r="D97" s="28"/>
      <c r="E97" s="28"/>
      <c r="F97" s="28"/>
      <c r="G97" s="28"/>
      <c r="H97" s="28"/>
      <c r="I97" s="28"/>
      <c r="J97" s="28"/>
      <c r="K97" s="28"/>
      <c r="L97" s="28"/>
      <c r="M97" s="598"/>
      <c r="N97" s="599"/>
      <c r="O97" s="600"/>
      <c r="P97" s="601"/>
      <c r="Q97" s="28"/>
      <c r="R97" s="28"/>
      <c r="S97" s="28"/>
      <c r="T97" s="28"/>
      <c r="U97" s="28"/>
      <c r="V97" s="28"/>
      <c r="W97" s="28"/>
      <c r="X97" s="28"/>
      <c r="Y97" s="28"/>
      <c r="Z97" s="25"/>
      <c r="AA97" s="28"/>
      <c r="AB97" s="28"/>
      <c r="AC97" s="602"/>
      <c r="AD97" s="28"/>
      <c r="AE97" s="28"/>
      <c r="AF97" s="28"/>
      <c r="AG97" s="28"/>
      <c r="AH97" s="25"/>
      <c r="AI97" s="25"/>
      <c r="AJ97" s="25"/>
      <c r="AK97" s="25"/>
      <c r="AL97" s="25"/>
      <c r="AM97" s="25"/>
    </row>
    <row r="98" spans="1:39" ht="24.75" customHeight="1" x14ac:dyDescent="0.25">
      <c r="A98" s="25"/>
      <c r="B98" s="427"/>
      <c r="C98" s="28"/>
      <c r="D98" s="28"/>
      <c r="E98" s="28"/>
      <c r="F98" s="28"/>
      <c r="G98" s="28"/>
      <c r="H98" s="28"/>
      <c r="I98" s="28"/>
      <c r="J98" s="28"/>
      <c r="K98" s="28"/>
      <c r="L98" s="28"/>
      <c r="M98" s="598"/>
      <c r="N98" s="599"/>
      <c r="O98" s="600"/>
      <c r="P98" s="601"/>
      <c r="Q98" s="28"/>
      <c r="R98" s="28"/>
      <c r="S98" s="28"/>
      <c r="T98" s="28"/>
      <c r="U98" s="28"/>
      <c r="V98" s="28"/>
      <c r="W98" s="28"/>
      <c r="X98" s="28"/>
      <c r="Y98" s="28"/>
      <c r="Z98" s="25"/>
      <c r="AA98" s="28"/>
      <c r="AB98" s="28"/>
      <c r="AC98" s="602"/>
      <c r="AD98" s="28"/>
      <c r="AE98" s="28"/>
      <c r="AF98" s="28"/>
      <c r="AG98" s="28"/>
      <c r="AH98" s="25"/>
      <c r="AI98" s="25"/>
      <c r="AJ98" s="25"/>
      <c r="AK98" s="25"/>
      <c r="AL98" s="25"/>
      <c r="AM98" s="25"/>
    </row>
    <row r="99" spans="1:39" ht="24.75" customHeight="1" x14ac:dyDescent="0.25">
      <c r="A99" s="25"/>
      <c r="B99" s="427"/>
      <c r="C99" s="28"/>
      <c r="D99" s="28"/>
      <c r="E99" s="28"/>
      <c r="F99" s="28"/>
      <c r="G99" s="28"/>
      <c r="H99" s="28"/>
      <c r="I99" s="28"/>
      <c r="J99" s="28"/>
      <c r="K99" s="28"/>
      <c r="L99" s="28"/>
      <c r="M99" s="598"/>
      <c r="N99" s="599"/>
      <c r="O99" s="600"/>
      <c r="P99" s="601"/>
      <c r="Q99" s="28"/>
      <c r="R99" s="28"/>
      <c r="S99" s="28"/>
      <c r="T99" s="28"/>
      <c r="U99" s="28"/>
      <c r="V99" s="28"/>
      <c r="W99" s="28"/>
      <c r="X99" s="28"/>
      <c r="Y99" s="28"/>
      <c r="Z99" s="25"/>
      <c r="AA99" s="28"/>
      <c r="AB99" s="28"/>
      <c r="AC99" s="602"/>
      <c r="AD99" s="28"/>
      <c r="AE99" s="28"/>
      <c r="AF99" s="28"/>
      <c r="AG99" s="28"/>
      <c r="AH99" s="25"/>
      <c r="AI99" s="25"/>
      <c r="AJ99" s="25"/>
      <c r="AK99" s="25"/>
      <c r="AL99" s="25"/>
      <c r="AM99" s="25"/>
    </row>
    <row r="100" spans="1:39" ht="24.75" customHeight="1" x14ac:dyDescent="0.25">
      <c r="A100" s="25"/>
      <c r="B100" s="427"/>
      <c r="C100" s="28"/>
      <c r="D100" s="28"/>
      <c r="E100" s="28"/>
      <c r="F100" s="28"/>
      <c r="G100" s="28"/>
      <c r="H100" s="28"/>
      <c r="I100" s="28"/>
      <c r="J100" s="28"/>
      <c r="K100" s="28"/>
      <c r="L100" s="28"/>
      <c r="M100" s="598"/>
      <c r="N100" s="599"/>
      <c r="O100" s="600"/>
      <c r="P100" s="601"/>
      <c r="Q100" s="28"/>
      <c r="R100" s="28"/>
      <c r="S100" s="28"/>
      <c r="T100" s="28"/>
      <c r="U100" s="28"/>
      <c r="V100" s="28"/>
      <c r="W100" s="28"/>
      <c r="X100" s="28"/>
      <c r="Y100" s="28"/>
      <c r="Z100" s="25"/>
      <c r="AA100" s="28"/>
      <c r="AB100" s="28"/>
      <c r="AC100" s="602"/>
      <c r="AD100" s="28"/>
      <c r="AE100" s="28"/>
      <c r="AF100" s="28"/>
      <c r="AG100" s="28"/>
      <c r="AH100" s="25"/>
      <c r="AI100" s="25"/>
      <c r="AJ100" s="25"/>
      <c r="AK100" s="25"/>
      <c r="AL100" s="25"/>
      <c r="AM100" s="25"/>
    </row>
    <row r="101" spans="1:39" ht="24.75" customHeight="1" x14ac:dyDescent="0.25">
      <c r="A101" s="25"/>
      <c r="B101" s="427"/>
      <c r="C101" s="28"/>
      <c r="D101" s="28"/>
      <c r="E101" s="28"/>
      <c r="F101" s="28"/>
      <c r="G101" s="28"/>
      <c r="H101" s="28"/>
      <c r="I101" s="28"/>
      <c r="J101" s="28"/>
      <c r="K101" s="28"/>
      <c r="L101" s="28"/>
      <c r="M101" s="598"/>
      <c r="N101" s="599"/>
      <c r="O101" s="600"/>
      <c r="P101" s="601"/>
      <c r="Q101" s="28"/>
      <c r="R101" s="28"/>
      <c r="S101" s="28"/>
      <c r="T101" s="28"/>
      <c r="U101" s="28"/>
      <c r="V101" s="28"/>
      <c r="W101" s="28"/>
      <c r="X101" s="28"/>
      <c r="Y101" s="28"/>
      <c r="Z101" s="25"/>
      <c r="AA101" s="28"/>
      <c r="AB101" s="28"/>
      <c r="AC101" s="602"/>
      <c r="AD101" s="28"/>
      <c r="AE101" s="28"/>
      <c r="AF101" s="28"/>
      <c r="AG101" s="28"/>
      <c r="AH101" s="25"/>
      <c r="AI101" s="25"/>
      <c r="AJ101" s="25"/>
      <c r="AK101" s="25"/>
      <c r="AL101" s="25"/>
      <c r="AM101" s="25"/>
    </row>
    <row r="102" spans="1:39" ht="24.75" customHeight="1" x14ac:dyDescent="0.25">
      <c r="A102" s="25"/>
      <c r="B102" s="427"/>
      <c r="C102" s="28"/>
      <c r="D102" s="28"/>
      <c r="E102" s="28"/>
      <c r="F102" s="28"/>
      <c r="G102" s="28"/>
      <c r="H102" s="28"/>
      <c r="I102" s="28"/>
      <c r="J102" s="28"/>
      <c r="K102" s="28"/>
      <c r="L102" s="28"/>
      <c r="M102" s="598"/>
      <c r="N102" s="599"/>
      <c r="O102" s="600"/>
      <c r="P102" s="601"/>
      <c r="Q102" s="28"/>
      <c r="R102" s="28"/>
      <c r="S102" s="28"/>
      <c r="T102" s="28"/>
      <c r="U102" s="28"/>
      <c r="V102" s="28"/>
      <c r="W102" s="28"/>
      <c r="X102" s="28"/>
      <c r="Y102" s="28"/>
      <c r="Z102" s="25"/>
      <c r="AA102" s="28"/>
      <c r="AB102" s="28"/>
      <c r="AC102" s="602"/>
      <c r="AD102" s="28"/>
      <c r="AE102" s="28"/>
      <c r="AF102" s="28"/>
      <c r="AG102" s="28"/>
      <c r="AH102" s="25"/>
      <c r="AI102" s="25"/>
      <c r="AJ102" s="25"/>
      <c r="AK102" s="25"/>
      <c r="AL102" s="25"/>
      <c r="AM102" s="25"/>
    </row>
    <row r="103" spans="1:39" ht="24.75" customHeight="1" x14ac:dyDescent="0.25">
      <c r="A103" s="25"/>
      <c r="B103" s="427"/>
      <c r="C103" s="28"/>
      <c r="D103" s="28"/>
      <c r="E103" s="28"/>
      <c r="F103" s="28"/>
      <c r="G103" s="28"/>
      <c r="H103" s="28"/>
      <c r="I103" s="28"/>
      <c r="J103" s="28"/>
      <c r="K103" s="28"/>
      <c r="L103" s="28"/>
      <c r="M103" s="598"/>
      <c r="N103" s="599"/>
      <c r="O103" s="600"/>
      <c r="P103" s="601"/>
      <c r="Q103" s="28"/>
      <c r="R103" s="28"/>
      <c r="S103" s="28"/>
      <c r="T103" s="28"/>
      <c r="U103" s="28"/>
      <c r="V103" s="28"/>
      <c r="W103" s="28"/>
      <c r="X103" s="28"/>
      <c r="Y103" s="28"/>
      <c r="Z103" s="25"/>
      <c r="AA103" s="28"/>
      <c r="AB103" s="28"/>
      <c r="AC103" s="602"/>
      <c r="AD103" s="28"/>
      <c r="AE103" s="28"/>
      <c r="AF103" s="28"/>
      <c r="AG103" s="28"/>
      <c r="AH103" s="25"/>
      <c r="AI103" s="25"/>
      <c r="AJ103" s="25"/>
      <c r="AK103" s="25"/>
      <c r="AL103" s="25"/>
      <c r="AM103" s="25"/>
    </row>
    <row r="104" spans="1:39" ht="24.75" customHeight="1" x14ac:dyDescent="0.25">
      <c r="A104" s="25"/>
      <c r="B104" s="427"/>
      <c r="C104" s="28"/>
      <c r="D104" s="28"/>
      <c r="E104" s="28"/>
      <c r="F104" s="28"/>
      <c r="G104" s="28"/>
      <c r="H104" s="28"/>
      <c r="I104" s="28"/>
      <c r="J104" s="28"/>
      <c r="K104" s="28"/>
      <c r="L104" s="28"/>
      <c r="M104" s="598"/>
      <c r="N104" s="599"/>
      <c r="O104" s="600"/>
      <c r="P104" s="601"/>
      <c r="Q104" s="28"/>
      <c r="R104" s="28"/>
      <c r="S104" s="28"/>
      <c r="T104" s="28"/>
      <c r="U104" s="28"/>
      <c r="V104" s="28"/>
      <c r="W104" s="28"/>
      <c r="X104" s="28"/>
      <c r="Y104" s="28"/>
      <c r="Z104" s="25"/>
      <c r="AA104" s="28"/>
      <c r="AB104" s="28"/>
      <c r="AC104" s="602"/>
      <c r="AD104" s="28"/>
      <c r="AE104" s="28"/>
      <c r="AF104" s="28"/>
      <c r="AG104" s="28"/>
      <c r="AH104" s="25"/>
      <c r="AI104" s="25"/>
      <c r="AJ104" s="25"/>
      <c r="AK104" s="25"/>
      <c r="AL104" s="25"/>
      <c r="AM104" s="25"/>
    </row>
    <row r="105" spans="1:39" ht="24.75" customHeight="1" x14ac:dyDescent="0.25">
      <c r="A105" s="25"/>
      <c r="B105" s="427"/>
      <c r="C105" s="28"/>
      <c r="D105" s="28"/>
      <c r="E105" s="28"/>
      <c r="F105" s="28"/>
      <c r="G105" s="28"/>
      <c r="H105" s="28"/>
      <c r="I105" s="28"/>
      <c r="J105" s="28"/>
      <c r="K105" s="28"/>
      <c r="L105" s="28"/>
      <c r="M105" s="598"/>
      <c r="N105" s="599"/>
      <c r="O105" s="600"/>
      <c r="P105" s="601"/>
      <c r="Q105" s="28"/>
      <c r="R105" s="28"/>
      <c r="S105" s="28"/>
      <c r="T105" s="28"/>
      <c r="U105" s="28"/>
      <c r="V105" s="28"/>
      <c r="W105" s="28"/>
      <c r="X105" s="28"/>
      <c r="Y105" s="28"/>
      <c r="Z105" s="25"/>
      <c r="AA105" s="28"/>
      <c r="AB105" s="28"/>
      <c r="AC105" s="602"/>
      <c r="AD105" s="28"/>
      <c r="AE105" s="28"/>
      <c r="AF105" s="28"/>
      <c r="AG105" s="28"/>
      <c r="AH105" s="25"/>
      <c r="AI105" s="25"/>
      <c r="AJ105" s="25"/>
      <c r="AK105" s="25"/>
      <c r="AL105" s="25"/>
      <c r="AM105" s="25"/>
    </row>
    <row r="106" spans="1:39" ht="24.75" customHeight="1" x14ac:dyDescent="0.25">
      <c r="A106" s="25"/>
      <c r="B106" s="427"/>
      <c r="C106" s="28"/>
      <c r="D106" s="28"/>
      <c r="E106" s="28"/>
      <c r="F106" s="28"/>
      <c r="G106" s="28"/>
      <c r="H106" s="28"/>
      <c r="I106" s="28"/>
      <c r="J106" s="28"/>
      <c r="K106" s="28"/>
      <c r="L106" s="28"/>
      <c r="M106" s="598"/>
      <c r="N106" s="599"/>
      <c r="O106" s="600"/>
      <c r="P106" s="601"/>
      <c r="Q106" s="28"/>
      <c r="R106" s="28"/>
      <c r="S106" s="28"/>
      <c r="T106" s="28"/>
      <c r="U106" s="28"/>
      <c r="V106" s="28"/>
      <c r="W106" s="28"/>
      <c r="X106" s="28"/>
      <c r="Y106" s="28"/>
      <c r="Z106" s="25"/>
      <c r="AA106" s="28"/>
      <c r="AB106" s="28"/>
      <c r="AC106" s="602"/>
      <c r="AD106" s="28"/>
      <c r="AE106" s="28"/>
      <c r="AF106" s="28"/>
      <c r="AG106" s="28"/>
      <c r="AH106" s="25"/>
      <c r="AI106" s="25"/>
      <c r="AJ106" s="25"/>
      <c r="AK106" s="25"/>
      <c r="AL106" s="25"/>
      <c r="AM106" s="25"/>
    </row>
    <row r="107" spans="1:39" ht="24.75" customHeight="1" x14ac:dyDescent="0.25">
      <c r="A107" s="25"/>
      <c r="B107" s="427"/>
      <c r="C107" s="28"/>
      <c r="D107" s="28"/>
      <c r="E107" s="28"/>
      <c r="F107" s="28"/>
      <c r="G107" s="28"/>
      <c r="H107" s="28"/>
      <c r="I107" s="28"/>
      <c r="J107" s="28"/>
      <c r="K107" s="28"/>
      <c r="L107" s="28"/>
      <c r="M107" s="598"/>
      <c r="N107" s="599"/>
      <c r="O107" s="600"/>
      <c r="P107" s="601"/>
      <c r="Q107" s="28"/>
      <c r="R107" s="28"/>
      <c r="S107" s="28"/>
      <c r="T107" s="28"/>
      <c r="U107" s="28"/>
      <c r="V107" s="28"/>
      <c r="W107" s="28"/>
      <c r="X107" s="28"/>
      <c r="Y107" s="28"/>
      <c r="Z107" s="25"/>
      <c r="AA107" s="28"/>
      <c r="AB107" s="28"/>
      <c r="AC107" s="602"/>
      <c r="AD107" s="28"/>
      <c r="AE107" s="28"/>
      <c r="AF107" s="28"/>
      <c r="AG107" s="28"/>
      <c r="AH107" s="25"/>
      <c r="AI107" s="25"/>
      <c r="AJ107" s="25"/>
      <c r="AK107" s="25"/>
      <c r="AL107" s="25"/>
      <c r="AM107" s="25"/>
    </row>
    <row r="108" spans="1:39" ht="24.75" customHeight="1" x14ac:dyDescent="0.25">
      <c r="A108" s="25"/>
      <c r="B108" s="427"/>
      <c r="C108" s="28"/>
      <c r="D108" s="28"/>
      <c r="E108" s="28"/>
      <c r="F108" s="28"/>
      <c r="G108" s="28"/>
      <c r="H108" s="28"/>
      <c r="I108" s="28"/>
      <c r="J108" s="28"/>
      <c r="K108" s="28"/>
      <c r="L108" s="28"/>
      <c r="M108" s="598"/>
      <c r="N108" s="599"/>
      <c r="O108" s="600"/>
      <c r="P108" s="601"/>
      <c r="Q108" s="28"/>
      <c r="R108" s="28"/>
      <c r="S108" s="28"/>
      <c r="T108" s="28"/>
      <c r="U108" s="28"/>
      <c r="V108" s="28"/>
      <c r="W108" s="28"/>
      <c r="X108" s="28"/>
      <c r="Y108" s="28"/>
      <c r="Z108" s="25"/>
      <c r="AA108" s="28"/>
      <c r="AB108" s="28"/>
      <c r="AC108" s="602"/>
      <c r="AD108" s="28"/>
      <c r="AE108" s="28"/>
      <c r="AF108" s="28"/>
      <c r="AG108" s="28"/>
      <c r="AH108" s="25"/>
      <c r="AI108" s="25"/>
      <c r="AJ108" s="25"/>
      <c r="AK108" s="25"/>
      <c r="AL108" s="25"/>
      <c r="AM108" s="25"/>
    </row>
    <row r="109" spans="1:39" ht="24.75" customHeight="1" x14ac:dyDescent="0.25">
      <c r="A109" s="25"/>
      <c r="B109" s="427"/>
      <c r="C109" s="28"/>
      <c r="D109" s="28"/>
      <c r="E109" s="28"/>
      <c r="F109" s="28"/>
      <c r="G109" s="28"/>
      <c r="H109" s="28"/>
      <c r="I109" s="28"/>
      <c r="J109" s="28"/>
      <c r="K109" s="28"/>
      <c r="L109" s="28"/>
      <c r="M109" s="598"/>
      <c r="N109" s="599"/>
      <c r="O109" s="600"/>
      <c r="P109" s="601"/>
      <c r="Q109" s="28"/>
      <c r="R109" s="28"/>
      <c r="S109" s="28"/>
      <c r="T109" s="28"/>
      <c r="U109" s="28"/>
      <c r="V109" s="28"/>
      <c r="W109" s="28"/>
      <c r="X109" s="28"/>
      <c r="Y109" s="28"/>
      <c r="Z109" s="25"/>
      <c r="AA109" s="28"/>
      <c r="AB109" s="28"/>
      <c r="AC109" s="602"/>
      <c r="AD109" s="28"/>
      <c r="AE109" s="28"/>
      <c r="AF109" s="28"/>
      <c r="AG109" s="28"/>
      <c r="AH109" s="25"/>
      <c r="AI109" s="25"/>
      <c r="AJ109" s="25"/>
      <c r="AK109" s="25"/>
      <c r="AL109" s="25"/>
      <c r="AM109" s="25"/>
    </row>
    <row r="110" spans="1:39" ht="24.75" customHeight="1" x14ac:dyDescent="0.25">
      <c r="A110" s="25"/>
      <c r="B110" s="427"/>
      <c r="C110" s="28"/>
      <c r="D110" s="28"/>
      <c r="E110" s="28"/>
      <c r="F110" s="28"/>
      <c r="G110" s="28"/>
      <c r="H110" s="28"/>
      <c r="I110" s="28"/>
      <c r="J110" s="28"/>
      <c r="K110" s="28"/>
      <c r="L110" s="28"/>
      <c r="M110" s="598"/>
      <c r="N110" s="599"/>
      <c r="O110" s="600"/>
      <c r="P110" s="601"/>
      <c r="Q110" s="28"/>
      <c r="R110" s="28"/>
      <c r="S110" s="28"/>
      <c r="T110" s="28"/>
      <c r="U110" s="28"/>
      <c r="V110" s="28"/>
      <c r="W110" s="28"/>
      <c r="X110" s="28"/>
      <c r="Y110" s="28"/>
      <c r="Z110" s="25"/>
      <c r="AA110" s="28"/>
      <c r="AB110" s="28"/>
      <c r="AC110" s="602"/>
      <c r="AD110" s="28"/>
      <c r="AE110" s="28"/>
      <c r="AF110" s="28"/>
      <c r="AG110" s="28"/>
      <c r="AH110" s="25"/>
      <c r="AI110" s="25"/>
      <c r="AJ110" s="25"/>
      <c r="AK110" s="25"/>
      <c r="AL110" s="25"/>
      <c r="AM110" s="25"/>
    </row>
    <row r="111" spans="1:39" ht="24.75" customHeight="1" x14ac:dyDescent="0.25">
      <c r="A111" s="25"/>
      <c r="B111" s="427"/>
      <c r="C111" s="28"/>
      <c r="D111" s="28"/>
      <c r="E111" s="28"/>
      <c r="F111" s="28"/>
      <c r="G111" s="28"/>
      <c r="H111" s="28"/>
      <c r="I111" s="28"/>
      <c r="J111" s="28"/>
      <c r="K111" s="28"/>
      <c r="L111" s="28"/>
      <c r="M111" s="598"/>
      <c r="N111" s="599"/>
      <c r="O111" s="600"/>
      <c r="P111" s="601"/>
      <c r="Q111" s="28"/>
      <c r="R111" s="28"/>
      <c r="S111" s="28"/>
      <c r="T111" s="28"/>
      <c r="U111" s="28"/>
      <c r="V111" s="28"/>
      <c r="W111" s="28"/>
      <c r="X111" s="28"/>
      <c r="Y111" s="28"/>
      <c r="Z111" s="25"/>
      <c r="AA111" s="28"/>
      <c r="AB111" s="28"/>
      <c r="AC111" s="602"/>
      <c r="AD111" s="28"/>
      <c r="AE111" s="28"/>
      <c r="AF111" s="28"/>
      <c r="AG111" s="28"/>
      <c r="AH111" s="25"/>
      <c r="AI111" s="25"/>
      <c r="AJ111" s="25"/>
      <c r="AK111" s="25"/>
      <c r="AL111" s="25"/>
      <c r="AM111" s="25"/>
    </row>
    <row r="112" spans="1:39" ht="24.75" customHeight="1" x14ac:dyDescent="0.25">
      <c r="A112" s="25"/>
      <c r="B112" s="427"/>
      <c r="C112" s="28"/>
      <c r="D112" s="28"/>
      <c r="E112" s="28"/>
      <c r="F112" s="28"/>
      <c r="G112" s="28"/>
      <c r="H112" s="28"/>
      <c r="I112" s="28"/>
      <c r="J112" s="28"/>
      <c r="K112" s="28"/>
      <c r="L112" s="28"/>
      <c r="M112" s="598"/>
      <c r="N112" s="599"/>
      <c r="O112" s="600"/>
      <c r="P112" s="601"/>
      <c r="Q112" s="28"/>
      <c r="R112" s="28"/>
      <c r="S112" s="28"/>
      <c r="T112" s="28"/>
      <c r="U112" s="28"/>
      <c r="V112" s="28"/>
      <c r="W112" s="28"/>
      <c r="X112" s="28"/>
      <c r="Y112" s="28"/>
      <c r="Z112" s="25"/>
      <c r="AA112" s="28"/>
      <c r="AB112" s="28"/>
      <c r="AC112" s="602"/>
      <c r="AD112" s="28"/>
      <c r="AE112" s="28"/>
      <c r="AF112" s="28"/>
      <c r="AG112" s="28"/>
      <c r="AH112" s="25"/>
      <c r="AI112" s="25"/>
      <c r="AJ112" s="25"/>
      <c r="AK112" s="25"/>
      <c r="AL112" s="25"/>
      <c r="AM112" s="25"/>
    </row>
    <row r="113" spans="1:39" ht="24.75" customHeight="1" x14ac:dyDescent="0.25">
      <c r="A113" s="25"/>
      <c r="B113" s="427"/>
      <c r="C113" s="28"/>
      <c r="D113" s="28"/>
      <c r="E113" s="28"/>
      <c r="F113" s="28"/>
      <c r="G113" s="28"/>
      <c r="H113" s="28"/>
      <c r="I113" s="28"/>
      <c r="J113" s="28"/>
      <c r="K113" s="28"/>
      <c r="L113" s="28"/>
      <c r="M113" s="598"/>
      <c r="N113" s="599"/>
      <c r="O113" s="600"/>
      <c r="P113" s="601"/>
      <c r="Q113" s="28"/>
      <c r="R113" s="28"/>
      <c r="S113" s="28"/>
      <c r="T113" s="28"/>
      <c r="U113" s="28"/>
      <c r="V113" s="28"/>
      <c r="W113" s="28"/>
      <c r="X113" s="28"/>
      <c r="Y113" s="28"/>
      <c r="Z113" s="25"/>
      <c r="AA113" s="28"/>
      <c r="AB113" s="28"/>
      <c r="AC113" s="602"/>
      <c r="AD113" s="28"/>
      <c r="AE113" s="28"/>
      <c r="AF113" s="28"/>
      <c r="AG113" s="28"/>
      <c r="AH113" s="25"/>
      <c r="AI113" s="25"/>
      <c r="AJ113" s="25"/>
      <c r="AK113" s="25"/>
      <c r="AL113" s="25"/>
      <c r="AM113" s="25"/>
    </row>
    <row r="114" spans="1:39" ht="24.75" customHeight="1" x14ac:dyDescent="0.25">
      <c r="A114" s="25"/>
      <c r="B114" s="427"/>
      <c r="C114" s="28"/>
      <c r="D114" s="28"/>
      <c r="E114" s="28"/>
      <c r="F114" s="28"/>
      <c r="G114" s="28"/>
      <c r="H114" s="28"/>
      <c r="I114" s="28"/>
      <c r="J114" s="28"/>
      <c r="K114" s="28"/>
      <c r="L114" s="28"/>
      <c r="M114" s="598"/>
      <c r="N114" s="599"/>
      <c r="O114" s="600"/>
      <c r="P114" s="601"/>
      <c r="Q114" s="28"/>
      <c r="R114" s="28"/>
      <c r="S114" s="28"/>
      <c r="T114" s="28"/>
      <c r="U114" s="28"/>
      <c r="V114" s="28"/>
      <c r="W114" s="28"/>
      <c r="X114" s="28"/>
      <c r="Y114" s="28"/>
      <c r="Z114" s="25"/>
      <c r="AA114" s="28"/>
      <c r="AB114" s="28"/>
      <c r="AC114" s="602"/>
      <c r="AD114" s="28"/>
      <c r="AE114" s="28"/>
      <c r="AF114" s="28"/>
      <c r="AG114" s="28"/>
      <c r="AH114" s="25"/>
      <c r="AI114" s="25"/>
      <c r="AJ114" s="25"/>
      <c r="AK114" s="25"/>
      <c r="AL114" s="25"/>
      <c r="AM114" s="25"/>
    </row>
    <row r="115" spans="1:39" ht="24.75" customHeight="1" x14ac:dyDescent="0.25">
      <c r="A115" s="25"/>
      <c r="B115" s="427"/>
      <c r="C115" s="28"/>
      <c r="D115" s="28"/>
      <c r="E115" s="28"/>
      <c r="F115" s="28"/>
      <c r="G115" s="28"/>
      <c r="H115" s="28"/>
      <c r="I115" s="28"/>
      <c r="J115" s="28"/>
      <c r="K115" s="28"/>
      <c r="L115" s="28"/>
      <c r="M115" s="598"/>
      <c r="N115" s="599"/>
      <c r="O115" s="600"/>
      <c r="P115" s="601"/>
      <c r="Q115" s="28"/>
      <c r="R115" s="28"/>
      <c r="S115" s="28"/>
      <c r="T115" s="28"/>
      <c r="U115" s="28"/>
      <c r="V115" s="28"/>
      <c r="W115" s="28"/>
      <c r="X115" s="28"/>
      <c r="Y115" s="28"/>
      <c r="Z115" s="25"/>
      <c r="AA115" s="28"/>
      <c r="AB115" s="28"/>
      <c r="AC115" s="602"/>
      <c r="AD115" s="28"/>
      <c r="AE115" s="28"/>
      <c r="AF115" s="28"/>
      <c r="AG115" s="28"/>
      <c r="AH115" s="25"/>
      <c r="AI115" s="25"/>
      <c r="AJ115" s="25"/>
      <c r="AK115" s="25"/>
      <c r="AL115" s="25"/>
      <c r="AM115" s="25"/>
    </row>
    <row r="116" spans="1:39" ht="24.75" customHeight="1" x14ac:dyDescent="0.25">
      <c r="A116" s="25"/>
      <c r="B116" s="427"/>
      <c r="C116" s="28"/>
      <c r="D116" s="28"/>
      <c r="E116" s="28"/>
      <c r="F116" s="28"/>
      <c r="G116" s="28"/>
      <c r="H116" s="28"/>
      <c r="I116" s="28"/>
      <c r="J116" s="28"/>
      <c r="K116" s="28"/>
      <c r="L116" s="28"/>
      <c r="M116" s="598"/>
      <c r="N116" s="599"/>
      <c r="O116" s="600"/>
      <c r="P116" s="601"/>
      <c r="Q116" s="28"/>
      <c r="R116" s="28"/>
      <c r="S116" s="28"/>
      <c r="T116" s="28"/>
      <c r="U116" s="28"/>
      <c r="V116" s="28"/>
      <c r="W116" s="28"/>
      <c r="X116" s="28"/>
      <c r="Y116" s="28"/>
      <c r="Z116" s="25"/>
      <c r="AA116" s="28"/>
      <c r="AB116" s="28"/>
      <c r="AC116" s="602"/>
      <c r="AD116" s="28"/>
      <c r="AE116" s="28"/>
      <c r="AF116" s="28"/>
      <c r="AG116" s="28"/>
      <c r="AH116" s="25"/>
      <c r="AI116" s="25"/>
      <c r="AJ116" s="25"/>
      <c r="AK116" s="25"/>
      <c r="AL116" s="25"/>
      <c r="AM116" s="25"/>
    </row>
    <row r="117" spans="1:39" ht="24.75" customHeight="1" x14ac:dyDescent="0.25">
      <c r="A117" s="25"/>
      <c r="B117" s="427"/>
      <c r="C117" s="28"/>
      <c r="D117" s="28"/>
      <c r="E117" s="28"/>
      <c r="F117" s="28"/>
      <c r="G117" s="28"/>
      <c r="H117" s="28"/>
      <c r="I117" s="28"/>
      <c r="J117" s="28"/>
      <c r="K117" s="28"/>
      <c r="L117" s="28"/>
      <c r="M117" s="598"/>
      <c r="N117" s="599"/>
      <c r="O117" s="600"/>
      <c r="P117" s="601"/>
      <c r="Q117" s="28"/>
      <c r="R117" s="28"/>
      <c r="S117" s="28"/>
      <c r="T117" s="28"/>
      <c r="U117" s="28"/>
      <c r="V117" s="28"/>
      <c r="W117" s="28"/>
      <c r="X117" s="28"/>
      <c r="Y117" s="28"/>
      <c r="Z117" s="25"/>
      <c r="AA117" s="28"/>
      <c r="AB117" s="28"/>
      <c r="AC117" s="602"/>
      <c r="AD117" s="28"/>
      <c r="AE117" s="28"/>
      <c r="AF117" s="28"/>
      <c r="AG117" s="28"/>
      <c r="AH117" s="25"/>
      <c r="AI117" s="25"/>
      <c r="AJ117" s="25"/>
      <c r="AK117" s="25"/>
      <c r="AL117" s="25"/>
      <c r="AM117" s="25"/>
    </row>
    <row r="118" spans="1:39" ht="24.75" customHeight="1" x14ac:dyDescent="0.25">
      <c r="A118" s="25"/>
      <c r="B118" s="427"/>
      <c r="C118" s="28"/>
      <c r="D118" s="28"/>
      <c r="E118" s="28"/>
      <c r="F118" s="28"/>
      <c r="G118" s="28"/>
      <c r="H118" s="28"/>
      <c r="I118" s="28"/>
      <c r="J118" s="28"/>
      <c r="K118" s="28"/>
      <c r="L118" s="28"/>
      <c r="M118" s="598"/>
      <c r="N118" s="599"/>
      <c r="O118" s="600"/>
      <c r="P118" s="601"/>
      <c r="Q118" s="28"/>
      <c r="R118" s="28"/>
      <c r="S118" s="28"/>
      <c r="T118" s="28"/>
      <c r="U118" s="28"/>
      <c r="V118" s="28"/>
      <c r="W118" s="28"/>
      <c r="X118" s="28"/>
      <c r="Y118" s="28"/>
      <c r="Z118" s="25"/>
      <c r="AA118" s="28"/>
      <c r="AB118" s="28"/>
      <c r="AC118" s="602"/>
      <c r="AD118" s="28"/>
      <c r="AE118" s="28"/>
      <c r="AF118" s="28"/>
      <c r="AG118" s="28"/>
      <c r="AH118" s="25"/>
      <c r="AI118" s="25"/>
      <c r="AJ118" s="25"/>
      <c r="AK118" s="25"/>
      <c r="AL118" s="25"/>
      <c r="AM118" s="25"/>
    </row>
    <row r="119" spans="1:39" ht="24.75" customHeight="1" x14ac:dyDescent="0.25">
      <c r="A119" s="25"/>
      <c r="B119" s="427"/>
      <c r="C119" s="28"/>
      <c r="D119" s="28"/>
      <c r="E119" s="28"/>
      <c r="F119" s="28"/>
      <c r="G119" s="28"/>
      <c r="H119" s="28"/>
      <c r="I119" s="28"/>
      <c r="J119" s="28"/>
      <c r="K119" s="28"/>
      <c r="L119" s="28"/>
      <c r="M119" s="598"/>
      <c r="N119" s="599"/>
      <c r="O119" s="600"/>
      <c r="P119" s="601"/>
      <c r="Q119" s="28"/>
      <c r="R119" s="28"/>
      <c r="S119" s="28"/>
      <c r="T119" s="28"/>
      <c r="U119" s="28"/>
      <c r="V119" s="28"/>
      <c r="W119" s="28"/>
      <c r="X119" s="28"/>
      <c r="Y119" s="28"/>
      <c r="Z119" s="25"/>
      <c r="AA119" s="28"/>
      <c r="AB119" s="28"/>
      <c r="AC119" s="602"/>
      <c r="AD119" s="28"/>
      <c r="AE119" s="28"/>
      <c r="AF119" s="28"/>
      <c r="AG119" s="28"/>
      <c r="AH119" s="25"/>
      <c r="AI119" s="25"/>
      <c r="AJ119" s="25"/>
      <c r="AK119" s="25"/>
      <c r="AL119" s="25"/>
      <c r="AM119" s="25"/>
    </row>
    <row r="120" spans="1:39" ht="24.75" customHeight="1" x14ac:dyDescent="0.25">
      <c r="A120" s="25"/>
      <c r="B120" s="427"/>
      <c r="C120" s="28"/>
      <c r="D120" s="28"/>
      <c r="E120" s="28"/>
      <c r="F120" s="28"/>
      <c r="G120" s="28"/>
      <c r="H120" s="28"/>
      <c r="I120" s="28"/>
      <c r="J120" s="28"/>
      <c r="K120" s="28"/>
      <c r="L120" s="28"/>
      <c r="M120" s="598"/>
      <c r="N120" s="599"/>
      <c r="O120" s="600"/>
      <c r="P120" s="601"/>
      <c r="Q120" s="28"/>
      <c r="R120" s="28"/>
      <c r="S120" s="28"/>
      <c r="T120" s="28"/>
      <c r="U120" s="28"/>
      <c r="V120" s="28"/>
      <c r="W120" s="28"/>
      <c r="X120" s="28"/>
      <c r="Y120" s="28"/>
      <c r="Z120" s="25"/>
      <c r="AA120" s="28"/>
      <c r="AB120" s="28"/>
      <c r="AC120" s="602"/>
      <c r="AD120" s="28"/>
      <c r="AE120" s="28"/>
      <c r="AF120" s="28"/>
      <c r="AG120" s="28"/>
      <c r="AH120" s="25"/>
      <c r="AI120" s="25"/>
      <c r="AJ120" s="25"/>
      <c r="AK120" s="25"/>
      <c r="AL120" s="25"/>
      <c r="AM120" s="25"/>
    </row>
    <row r="121" spans="1:39" ht="24.75" customHeight="1" x14ac:dyDescent="0.25">
      <c r="A121" s="25"/>
      <c r="B121" s="427"/>
      <c r="C121" s="28"/>
      <c r="D121" s="28"/>
      <c r="E121" s="28"/>
      <c r="F121" s="28"/>
      <c r="G121" s="28"/>
      <c r="H121" s="28"/>
      <c r="I121" s="28"/>
      <c r="J121" s="28"/>
      <c r="K121" s="28"/>
      <c r="L121" s="28"/>
      <c r="M121" s="598"/>
      <c r="N121" s="599"/>
      <c r="O121" s="600"/>
      <c r="P121" s="601"/>
      <c r="Q121" s="28"/>
      <c r="R121" s="28"/>
      <c r="S121" s="28"/>
      <c r="T121" s="28"/>
      <c r="U121" s="28"/>
      <c r="V121" s="28"/>
      <c r="W121" s="28"/>
      <c r="X121" s="28"/>
      <c r="Y121" s="28"/>
      <c r="Z121" s="25"/>
      <c r="AA121" s="28"/>
      <c r="AB121" s="28"/>
      <c r="AC121" s="602"/>
      <c r="AD121" s="28"/>
      <c r="AE121" s="28"/>
      <c r="AF121" s="28"/>
      <c r="AG121" s="28"/>
      <c r="AH121" s="25"/>
      <c r="AI121" s="25"/>
      <c r="AJ121" s="25"/>
      <c r="AK121" s="25"/>
      <c r="AL121" s="25"/>
      <c r="AM121" s="25"/>
    </row>
    <row r="122" spans="1:39" ht="24.75" customHeight="1" x14ac:dyDescent="0.25">
      <c r="A122" s="25"/>
      <c r="B122" s="427"/>
      <c r="C122" s="28"/>
      <c r="D122" s="28"/>
      <c r="E122" s="28"/>
      <c r="F122" s="28"/>
      <c r="G122" s="28"/>
      <c r="H122" s="28"/>
      <c r="I122" s="28"/>
      <c r="J122" s="28"/>
      <c r="K122" s="28"/>
      <c r="L122" s="28"/>
      <c r="M122" s="598"/>
      <c r="N122" s="599"/>
      <c r="O122" s="600"/>
      <c r="P122" s="601"/>
      <c r="Q122" s="28"/>
      <c r="R122" s="28"/>
      <c r="S122" s="28"/>
      <c r="T122" s="28"/>
      <c r="U122" s="28"/>
      <c r="V122" s="28"/>
      <c r="W122" s="28"/>
      <c r="X122" s="28"/>
      <c r="Y122" s="28"/>
      <c r="Z122" s="25"/>
      <c r="AA122" s="28"/>
      <c r="AB122" s="28"/>
      <c r="AC122" s="602"/>
      <c r="AD122" s="28"/>
      <c r="AE122" s="28"/>
      <c r="AF122" s="28"/>
      <c r="AG122" s="28"/>
      <c r="AH122" s="25"/>
      <c r="AI122" s="25"/>
      <c r="AJ122" s="25"/>
      <c r="AK122" s="25"/>
      <c r="AL122" s="25"/>
      <c r="AM122" s="25"/>
    </row>
    <row r="123" spans="1:39" ht="24.75" customHeight="1" x14ac:dyDescent="0.25">
      <c r="A123" s="25"/>
      <c r="B123" s="427"/>
      <c r="C123" s="28"/>
      <c r="D123" s="28"/>
      <c r="E123" s="28"/>
      <c r="F123" s="28"/>
      <c r="G123" s="28"/>
      <c r="H123" s="28"/>
      <c r="I123" s="28"/>
      <c r="J123" s="28"/>
      <c r="K123" s="28"/>
      <c r="L123" s="28"/>
      <c r="M123" s="598"/>
      <c r="N123" s="599"/>
      <c r="O123" s="600"/>
      <c r="P123" s="601"/>
      <c r="Q123" s="28"/>
      <c r="R123" s="28"/>
      <c r="S123" s="28"/>
      <c r="T123" s="28"/>
      <c r="U123" s="28"/>
      <c r="V123" s="28"/>
      <c r="W123" s="28"/>
      <c r="X123" s="28"/>
      <c r="Y123" s="28"/>
      <c r="Z123" s="25"/>
      <c r="AA123" s="28"/>
      <c r="AB123" s="28"/>
      <c r="AC123" s="602"/>
      <c r="AD123" s="28"/>
      <c r="AE123" s="28"/>
      <c r="AF123" s="28"/>
      <c r="AG123" s="28"/>
      <c r="AH123" s="25"/>
      <c r="AI123" s="25"/>
      <c r="AJ123" s="25"/>
      <c r="AK123" s="25"/>
      <c r="AL123" s="25"/>
      <c r="AM123" s="25"/>
    </row>
    <row r="124" spans="1:39" ht="24.75" customHeight="1" x14ac:dyDescent="0.25">
      <c r="A124" s="25"/>
      <c r="B124" s="427"/>
      <c r="C124" s="28"/>
      <c r="D124" s="28"/>
      <c r="E124" s="28"/>
      <c r="F124" s="28"/>
      <c r="G124" s="28"/>
      <c r="H124" s="28"/>
      <c r="I124" s="28"/>
      <c r="J124" s="28"/>
      <c r="K124" s="28"/>
      <c r="L124" s="28"/>
      <c r="M124" s="598"/>
      <c r="N124" s="599"/>
      <c r="O124" s="600"/>
      <c r="P124" s="601"/>
      <c r="Q124" s="28"/>
      <c r="R124" s="28"/>
      <c r="S124" s="28"/>
      <c r="T124" s="28"/>
      <c r="U124" s="28"/>
      <c r="V124" s="28"/>
      <c r="W124" s="28"/>
      <c r="X124" s="28"/>
      <c r="Y124" s="28"/>
      <c r="Z124" s="25"/>
      <c r="AA124" s="28"/>
      <c r="AB124" s="28"/>
      <c r="AC124" s="602"/>
      <c r="AD124" s="28"/>
      <c r="AE124" s="28"/>
      <c r="AF124" s="28"/>
      <c r="AG124" s="28"/>
      <c r="AH124" s="25"/>
      <c r="AI124" s="25"/>
      <c r="AJ124" s="25"/>
      <c r="AK124" s="25"/>
      <c r="AL124" s="25"/>
      <c r="AM124" s="25"/>
    </row>
    <row r="125" spans="1:39" ht="24.75" customHeight="1" x14ac:dyDescent="0.25">
      <c r="A125" s="25"/>
      <c r="B125" s="427"/>
      <c r="C125" s="28"/>
      <c r="D125" s="28"/>
      <c r="E125" s="28"/>
      <c r="F125" s="28"/>
      <c r="G125" s="28"/>
      <c r="H125" s="28"/>
      <c r="I125" s="28"/>
      <c r="J125" s="28"/>
      <c r="K125" s="28"/>
      <c r="L125" s="28"/>
      <c r="M125" s="598"/>
      <c r="N125" s="599"/>
      <c r="O125" s="600"/>
      <c r="P125" s="601"/>
      <c r="Q125" s="28"/>
      <c r="R125" s="28"/>
      <c r="S125" s="28"/>
      <c r="T125" s="28"/>
      <c r="U125" s="28"/>
      <c r="V125" s="28"/>
      <c r="W125" s="28"/>
      <c r="X125" s="28"/>
      <c r="Y125" s="28"/>
      <c r="Z125" s="25"/>
      <c r="AA125" s="28"/>
      <c r="AB125" s="28"/>
      <c r="AC125" s="602"/>
      <c r="AD125" s="28"/>
      <c r="AE125" s="28"/>
      <c r="AF125" s="28"/>
      <c r="AG125" s="28"/>
      <c r="AH125" s="25"/>
      <c r="AI125" s="25"/>
      <c r="AJ125" s="25"/>
      <c r="AK125" s="25"/>
      <c r="AL125" s="25"/>
      <c r="AM125" s="25"/>
    </row>
    <row r="126" spans="1:39" ht="24.75" customHeight="1" x14ac:dyDescent="0.25">
      <c r="A126" s="25"/>
      <c r="B126" s="427"/>
      <c r="C126" s="28"/>
      <c r="D126" s="28"/>
      <c r="E126" s="28"/>
      <c r="F126" s="28"/>
      <c r="G126" s="28"/>
      <c r="H126" s="28"/>
      <c r="I126" s="28"/>
      <c r="J126" s="28"/>
      <c r="K126" s="28"/>
      <c r="L126" s="28"/>
      <c r="M126" s="598"/>
      <c r="N126" s="599"/>
      <c r="O126" s="600"/>
      <c r="P126" s="601"/>
      <c r="Q126" s="28"/>
      <c r="R126" s="28"/>
      <c r="S126" s="28"/>
      <c r="T126" s="28"/>
      <c r="U126" s="28"/>
      <c r="V126" s="28"/>
      <c r="W126" s="28"/>
      <c r="X126" s="28"/>
      <c r="Y126" s="28"/>
      <c r="Z126" s="25"/>
      <c r="AA126" s="28"/>
      <c r="AB126" s="28"/>
      <c r="AC126" s="602"/>
      <c r="AD126" s="28"/>
      <c r="AE126" s="28"/>
      <c r="AF126" s="28"/>
      <c r="AG126" s="28"/>
      <c r="AH126" s="25"/>
      <c r="AI126" s="25"/>
      <c r="AJ126" s="25"/>
      <c r="AK126" s="25"/>
      <c r="AL126" s="25"/>
      <c r="AM126" s="25"/>
    </row>
    <row r="127" spans="1:39" ht="24.75" customHeight="1" x14ac:dyDescent="0.25">
      <c r="A127" s="25"/>
      <c r="B127" s="427"/>
      <c r="C127" s="28"/>
      <c r="D127" s="28"/>
      <c r="E127" s="28"/>
      <c r="F127" s="28"/>
      <c r="G127" s="28"/>
      <c r="H127" s="28"/>
      <c r="I127" s="28"/>
      <c r="J127" s="28"/>
      <c r="K127" s="28"/>
      <c r="L127" s="28"/>
      <c r="M127" s="598"/>
      <c r="N127" s="599"/>
      <c r="O127" s="600"/>
      <c r="P127" s="601"/>
      <c r="Q127" s="28"/>
      <c r="R127" s="28"/>
      <c r="S127" s="28"/>
      <c r="T127" s="28"/>
      <c r="U127" s="28"/>
      <c r="V127" s="28"/>
      <c r="W127" s="28"/>
      <c r="X127" s="28"/>
      <c r="Y127" s="28"/>
      <c r="Z127" s="25"/>
      <c r="AA127" s="28"/>
      <c r="AB127" s="28"/>
      <c r="AC127" s="602"/>
      <c r="AD127" s="28"/>
      <c r="AE127" s="28"/>
      <c r="AF127" s="28"/>
      <c r="AG127" s="28"/>
      <c r="AH127" s="25"/>
      <c r="AI127" s="25"/>
      <c r="AJ127" s="25"/>
      <c r="AK127" s="25"/>
      <c r="AL127" s="25"/>
      <c r="AM127" s="25"/>
    </row>
    <row r="128" spans="1:39" ht="24.75" customHeight="1" x14ac:dyDescent="0.25">
      <c r="A128" s="25"/>
      <c r="B128" s="427"/>
      <c r="C128" s="28"/>
      <c r="D128" s="28"/>
      <c r="E128" s="28"/>
      <c r="F128" s="28"/>
      <c r="G128" s="28"/>
      <c r="H128" s="28"/>
      <c r="I128" s="28"/>
      <c r="J128" s="28"/>
      <c r="K128" s="28"/>
      <c r="L128" s="28"/>
      <c r="M128" s="598"/>
      <c r="N128" s="599"/>
      <c r="O128" s="600"/>
      <c r="P128" s="601"/>
      <c r="Q128" s="28"/>
      <c r="R128" s="28"/>
      <c r="S128" s="28"/>
      <c r="T128" s="28"/>
      <c r="U128" s="28"/>
      <c r="V128" s="28"/>
      <c r="W128" s="28"/>
      <c r="X128" s="28"/>
      <c r="Y128" s="28"/>
      <c r="Z128" s="25"/>
      <c r="AA128" s="28"/>
      <c r="AB128" s="28"/>
      <c r="AC128" s="602"/>
      <c r="AD128" s="28"/>
      <c r="AE128" s="28"/>
      <c r="AF128" s="28"/>
      <c r="AG128" s="28"/>
      <c r="AH128" s="25"/>
      <c r="AI128" s="25"/>
      <c r="AJ128" s="25"/>
      <c r="AK128" s="25"/>
      <c r="AL128" s="25"/>
      <c r="AM128" s="25"/>
    </row>
    <row r="129" spans="1:39" ht="24.75" customHeight="1" x14ac:dyDescent="0.25">
      <c r="A129" s="25"/>
      <c r="B129" s="427"/>
      <c r="C129" s="28"/>
      <c r="D129" s="28"/>
      <c r="E129" s="28"/>
      <c r="F129" s="28"/>
      <c r="G129" s="28"/>
      <c r="H129" s="28"/>
      <c r="I129" s="28"/>
      <c r="J129" s="28"/>
      <c r="K129" s="28"/>
      <c r="L129" s="28"/>
      <c r="M129" s="598"/>
      <c r="N129" s="599"/>
      <c r="O129" s="600"/>
      <c r="P129" s="601"/>
      <c r="Q129" s="28"/>
      <c r="R129" s="28"/>
      <c r="S129" s="28"/>
      <c r="T129" s="28"/>
      <c r="U129" s="28"/>
      <c r="V129" s="28"/>
      <c r="W129" s="28"/>
      <c r="X129" s="28"/>
      <c r="Y129" s="28"/>
      <c r="Z129" s="25"/>
      <c r="AA129" s="28"/>
      <c r="AB129" s="28"/>
      <c r="AC129" s="602"/>
      <c r="AD129" s="28"/>
      <c r="AE129" s="28"/>
      <c r="AF129" s="28"/>
      <c r="AG129" s="28"/>
      <c r="AH129" s="25"/>
      <c r="AI129" s="25"/>
      <c r="AJ129" s="25"/>
      <c r="AK129" s="25"/>
      <c r="AL129" s="25"/>
      <c r="AM129" s="25"/>
    </row>
    <row r="130" spans="1:39" ht="24.75" customHeight="1" x14ac:dyDescent="0.25">
      <c r="A130" s="25"/>
      <c r="B130" s="427"/>
      <c r="C130" s="28"/>
      <c r="D130" s="28"/>
      <c r="E130" s="28"/>
      <c r="F130" s="28"/>
      <c r="G130" s="28"/>
      <c r="H130" s="28"/>
      <c r="I130" s="28"/>
      <c r="J130" s="28"/>
      <c r="K130" s="28"/>
      <c r="L130" s="28"/>
      <c r="M130" s="598"/>
      <c r="N130" s="599"/>
      <c r="O130" s="600"/>
      <c r="P130" s="601"/>
      <c r="Q130" s="28"/>
      <c r="R130" s="28"/>
      <c r="S130" s="28"/>
      <c r="T130" s="28"/>
      <c r="U130" s="28"/>
      <c r="V130" s="28"/>
      <c r="W130" s="28"/>
      <c r="X130" s="28"/>
      <c r="Y130" s="28"/>
      <c r="Z130" s="25"/>
      <c r="AA130" s="28"/>
      <c r="AB130" s="28"/>
      <c r="AC130" s="602"/>
      <c r="AD130" s="28"/>
      <c r="AE130" s="28"/>
      <c r="AF130" s="28"/>
      <c r="AG130" s="28"/>
      <c r="AH130" s="25"/>
      <c r="AI130" s="25"/>
      <c r="AJ130" s="25"/>
      <c r="AK130" s="25"/>
      <c r="AL130" s="25"/>
      <c r="AM130" s="25"/>
    </row>
    <row r="131" spans="1:39" ht="24.75" customHeight="1" x14ac:dyDescent="0.25">
      <c r="A131" s="25"/>
      <c r="B131" s="427"/>
      <c r="C131" s="28"/>
      <c r="D131" s="28"/>
      <c r="E131" s="28"/>
      <c r="F131" s="28"/>
      <c r="G131" s="28"/>
      <c r="H131" s="28"/>
      <c r="I131" s="28"/>
      <c r="J131" s="28"/>
      <c r="K131" s="28"/>
      <c r="L131" s="28"/>
      <c r="M131" s="598"/>
      <c r="N131" s="599"/>
      <c r="O131" s="600"/>
      <c r="P131" s="601"/>
      <c r="Q131" s="28"/>
      <c r="R131" s="28"/>
      <c r="S131" s="28"/>
      <c r="T131" s="28"/>
      <c r="U131" s="28"/>
      <c r="V131" s="28"/>
      <c r="W131" s="28"/>
      <c r="X131" s="28"/>
      <c r="Y131" s="28"/>
      <c r="Z131" s="25"/>
      <c r="AA131" s="28"/>
      <c r="AB131" s="28"/>
      <c r="AC131" s="602"/>
      <c r="AD131" s="28"/>
      <c r="AE131" s="28"/>
      <c r="AF131" s="28"/>
      <c r="AG131" s="28"/>
      <c r="AH131" s="25"/>
      <c r="AI131" s="25"/>
      <c r="AJ131" s="25"/>
      <c r="AK131" s="25"/>
      <c r="AL131" s="25"/>
      <c r="AM131" s="25"/>
    </row>
    <row r="132" spans="1:39" ht="24.75" customHeight="1" x14ac:dyDescent="0.25">
      <c r="A132" s="25"/>
      <c r="B132" s="427"/>
      <c r="C132" s="28"/>
      <c r="D132" s="28"/>
      <c r="E132" s="28"/>
      <c r="F132" s="28"/>
      <c r="G132" s="28"/>
      <c r="H132" s="28"/>
      <c r="I132" s="28"/>
      <c r="J132" s="28"/>
      <c r="K132" s="28"/>
      <c r="L132" s="28"/>
      <c r="M132" s="598"/>
      <c r="N132" s="599"/>
      <c r="O132" s="600"/>
      <c r="P132" s="601"/>
      <c r="Q132" s="28"/>
      <c r="R132" s="28"/>
      <c r="S132" s="28"/>
      <c r="T132" s="28"/>
      <c r="U132" s="28"/>
      <c r="V132" s="28"/>
      <c r="W132" s="28"/>
      <c r="X132" s="28"/>
      <c r="Y132" s="28"/>
      <c r="Z132" s="25"/>
      <c r="AA132" s="28"/>
      <c r="AB132" s="28"/>
      <c r="AC132" s="602"/>
      <c r="AD132" s="28"/>
      <c r="AE132" s="28"/>
      <c r="AF132" s="28"/>
      <c r="AG132" s="28"/>
      <c r="AH132" s="25"/>
      <c r="AI132" s="25"/>
      <c r="AJ132" s="25"/>
      <c r="AK132" s="25"/>
      <c r="AL132" s="25"/>
      <c r="AM132" s="25"/>
    </row>
    <row r="133" spans="1:39" ht="24.75" customHeight="1" x14ac:dyDescent="0.25">
      <c r="A133" s="25"/>
      <c r="B133" s="427"/>
      <c r="C133" s="28"/>
      <c r="D133" s="28"/>
      <c r="E133" s="28"/>
      <c r="F133" s="28"/>
      <c r="G133" s="28"/>
      <c r="H133" s="28"/>
      <c r="I133" s="28"/>
      <c r="J133" s="28"/>
      <c r="K133" s="28"/>
      <c r="L133" s="28"/>
      <c r="M133" s="598"/>
      <c r="N133" s="599"/>
      <c r="O133" s="600"/>
      <c r="P133" s="601"/>
      <c r="Q133" s="28"/>
      <c r="R133" s="28"/>
      <c r="S133" s="28"/>
      <c r="T133" s="28"/>
      <c r="U133" s="28"/>
      <c r="V133" s="28"/>
      <c r="W133" s="28"/>
      <c r="X133" s="28"/>
      <c r="Y133" s="28"/>
      <c r="Z133" s="25"/>
      <c r="AA133" s="28"/>
      <c r="AB133" s="28"/>
      <c r="AC133" s="602"/>
      <c r="AD133" s="28"/>
      <c r="AE133" s="28"/>
      <c r="AF133" s="28"/>
      <c r="AG133" s="28"/>
      <c r="AH133" s="25"/>
      <c r="AI133" s="25"/>
      <c r="AJ133" s="25"/>
      <c r="AK133" s="25"/>
      <c r="AL133" s="25"/>
      <c r="AM133" s="25"/>
    </row>
    <row r="134" spans="1:39" ht="24.75" customHeight="1" x14ac:dyDescent="0.25">
      <c r="A134" s="25"/>
      <c r="B134" s="427"/>
      <c r="C134" s="28"/>
      <c r="D134" s="28"/>
      <c r="E134" s="28"/>
      <c r="F134" s="28"/>
      <c r="G134" s="28"/>
      <c r="H134" s="28"/>
      <c r="I134" s="28"/>
      <c r="J134" s="28"/>
      <c r="K134" s="28"/>
      <c r="L134" s="28"/>
      <c r="M134" s="598"/>
      <c r="N134" s="599"/>
      <c r="O134" s="600"/>
      <c r="P134" s="601"/>
      <c r="Q134" s="28"/>
      <c r="R134" s="28"/>
      <c r="S134" s="28"/>
      <c r="T134" s="28"/>
      <c r="U134" s="28"/>
      <c r="V134" s="28"/>
      <c r="W134" s="28"/>
      <c r="X134" s="28"/>
      <c r="Y134" s="28"/>
      <c r="Z134" s="25"/>
      <c r="AA134" s="28"/>
      <c r="AB134" s="28"/>
      <c r="AC134" s="602"/>
      <c r="AD134" s="28"/>
      <c r="AE134" s="28"/>
      <c r="AF134" s="28"/>
      <c r="AG134" s="28"/>
      <c r="AH134" s="25"/>
      <c r="AI134" s="25"/>
      <c r="AJ134" s="25"/>
      <c r="AK134" s="25"/>
      <c r="AL134" s="25"/>
      <c r="AM134" s="25"/>
    </row>
    <row r="135" spans="1:39" ht="24.75" customHeight="1" x14ac:dyDescent="0.25">
      <c r="A135" s="25"/>
      <c r="B135" s="427"/>
      <c r="C135" s="28"/>
      <c r="D135" s="28"/>
      <c r="E135" s="28"/>
      <c r="F135" s="28"/>
      <c r="G135" s="28"/>
      <c r="H135" s="28"/>
      <c r="I135" s="28"/>
      <c r="J135" s="28"/>
      <c r="K135" s="28"/>
      <c r="L135" s="28"/>
      <c r="M135" s="598"/>
      <c r="N135" s="599"/>
      <c r="O135" s="600"/>
      <c r="P135" s="601"/>
      <c r="Q135" s="28"/>
      <c r="R135" s="28"/>
      <c r="S135" s="28"/>
      <c r="T135" s="28"/>
      <c r="U135" s="28"/>
      <c r="V135" s="28"/>
      <c r="W135" s="28"/>
      <c r="X135" s="28"/>
      <c r="Y135" s="28"/>
      <c r="Z135" s="25"/>
      <c r="AA135" s="28"/>
      <c r="AB135" s="28"/>
      <c r="AC135" s="602"/>
      <c r="AD135" s="28"/>
      <c r="AE135" s="28"/>
      <c r="AF135" s="28"/>
      <c r="AG135" s="28"/>
      <c r="AH135" s="25"/>
      <c r="AI135" s="25"/>
      <c r="AJ135" s="25"/>
      <c r="AK135" s="25"/>
      <c r="AL135" s="25"/>
      <c r="AM135" s="25"/>
    </row>
    <row r="136" spans="1:39" ht="24.75" customHeight="1" x14ac:dyDescent="0.25">
      <c r="A136" s="25"/>
      <c r="B136" s="427"/>
      <c r="C136" s="28"/>
      <c r="D136" s="28"/>
      <c r="E136" s="28"/>
      <c r="F136" s="28"/>
      <c r="G136" s="28"/>
      <c r="H136" s="28"/>
      <c r="I136" s="28"/>
      <c r="J136" s="28"/>
      <c r="K136" s="28"/>
      <c r="L136" s="28"/>
      <c r="M136" s="598"/>
      <c r="N136" s="599"/>
      <c r="O136" s="600"/>
      <c r="P136" s="601"/>
      <c r="Q136" s="28"/>
      <c r="R136" s="28"/>
      <c r="S136" s="28"/>
      <c r="T136" s="28"/>
      <c r="U136" s="28"/>
      <c r="V136" s="28"/>
      <c r="W136" s="28"/>
      <c r="X136" s="28"/>
      <c r="Y136" s="28"/>
      <c r="Z136" s="25"/>
      <c r="AA136" s="28"/>
      <c r="AB136" s="28"/>
      <c r="AC136" s="602"/>
      <c r="AD136" s="28"/>
      <c r="AE136" s="28"/>
      <c r="AF136" s="28"/>
      <c r="AG136" s="28"/>
      <c r="AH136" s="25"/>
      <c r="AI136" s="25"/>
      <c r="AJ136" s="25"/>
      <c r="AK136" s="25"/>
      <c r="AL136" s="25"/>
      <c r="AM136" s="25"/>
    </row>
    <row r="137" spans="1:39" ht="24.75" customHeight="1" x14ac:dyDescent="0.25">
      <c r="A137" s="25"/>
      <c r="B137" s="427"/>
      <c r="C137" s="28"/>
      <c r="D137" s="28"/>
      <c r="E137" s="28"/>
      <c r="F137" s="28"/>
      <c r="G137" s="28"/>
      <c r="H137" s="28"/>
      <c r="I137" s="28"/>
      <c r="J137" s="28"/>
      <c r="K137" s="28"/>
      <c r="L137" s="28"/>
      <c r="M137" s="598"/>
      <c r="N137" s="599"/>
      <c r="O137" s="600"/>
      <c r="P137" s="601"/>
      <c r="Q137" s="28"/>
      <c r="R137" s="28"/>
      <c r="S137" s="28"/>
      <c r="T137" s="28"/>
      <c r="U137" s="28"/>
      <c r="V137" s="28"/>
      <c r="W137" s="28"/>
      <c r="X137" s="28"/>
      <c r="Y137" s="28"/>
      <c r="Z137" s="25"/>
      <c r="AA137" s="28"/>
      <c r="AB137" s="28"/>
      <c r="AC137" s="602"/>
      <c r="AD137" s="28"/>
      <c r="AE137" s="28"/>
      <c r="AF137" s="28"/>
      <c r="AG137" s="28"/>
      <c r="AH137" s="25"/>
      <c r="AI137" s="25"/>
      <c r="AJ137" s="25"/>
      <c r="AK137" s="25"/>
      <c r="AL137" s="25"/>
      <c r="AM137" s="25"/>
    </row>
    <row r="138" spans="1:39" ht="24.75" customHeight="1" x14ac:dyDescent="0.25">
      <c r="A138" s="25"/>
      <c r="B138" s="427"/>
      <c r="C138" s="28"/>
      <c r="D138" s="28"/>
      <c r="E138" s="28"/>
      <c r="F138" s="28"/>
      <c r="G138" s="28"/>
      <c r="H138" s="28"/>
      <c r="I138" s="28"/>
      <c r="J138" s="28"/>
      <c r="K138" s="28"/>
      <c r="L138" s="28"/>
      <c r="M138" s="598"/>
      <c r="N138" s="599"/>
      <c r="O138" s="600"/>
      <c r="P138" s="601"/>
      <c r="Q138" s="28"/>
      <c r="R138" s="28"/>
      <c r="S138" s="28"/>
      <c r="T138" s="28"/>
      <c r="U138" s="28"/>
      <c r="V138" s="28"/>
      <c r="W138" s="28"/>
      <c r="X138" s="28"/>
      <c r="Y138" s="28"/>
      <c r="Z138" s="25"/>
      <c r="AA138" s="28"/>
      <c r="AB138" s="28"/>
      <c r="AC138" s="602"/>
      <c r="AD138" s="28"/>
      <c r="AE138" s="28"/>
      <c r="AF138" s="28"/>
      <c r="AG138" s="28"/>
      <c r="AH138" s="25"/>
      <c r="AI138" s="25"/>
      <c r="AJ138" s="25"/>
      <c r="AK138" s="25"/>
      <c r="AL138" s="25"/>
      <c r="AM138" s="25"/>
    </row>
    <row r="139" spans="1:39" ht="24.75" customHeight="1" x14ac:dyDescent="0.25">
      <c r="A139" s="25"/>
      <c r="B139" s="427"/>
      <c r="C139" s="28"/>
      <c r="D139" s="28"/>
      <c r="E139" s="28"/>
      <c r="F139" s="28"/>
      <c r="G139" s="28"/>
      <c r="H139" s="28"/>
      <c r="I139" s="28"/>
      <c r="J139" s="28"/>
      <c r="K139" s="28"/>
      <c r="L139" s="28"/>
      <c r="M139" s="598"/>
      <c r="N139" s="599"/>
      <c r="O139" s="600"/>
      <c r="P139" s="601"/>
      <c r="Q139" s="28"/>
      <c r="R139" s="28"/>
      <c r="S139" s="28"/>
      <c r="T139" s="28"/>
      <c r="U139" s="28"/>
      <c r="V139" s="28"/>
      <c r="W139" s="28"/>
      <c r="X139" s="28"/>
      <c r="Y139" s="28"/>
      <c r="Z139" s="25"/>
      <c r="AA139" s="28"/>
      <c r="AB139" s="28"/>
      <c r="AC139" s="602"/>
      <c r="AD139" s="28"/>
      <c r="AE139" s="28"/>
      <c r="AF139" s="28"/>
      <c r="AG139" s="28"/>
      <c r="AH139" s="25"/>
      <c r="AI139" s="25"/>
      <c r="AJ139" s="25"/>
      <c r="AK139" s="25"/>
      <c r="AL139" s="25"/>
      <c r="AM139" s="25"/>
    </row>
    <row r="140" spans="1:39" ht="24.75" customHeight="1" x14ac:dyDescent="0.25">
      <c r="A140" s="25"/>
      <c r="B140" s="427"/>
      <c r="C140" s="28"/>
      <c r="D140" s="28"/>
      <c r="E140" s="28"/>
      <c r="F140" s="28"/>
      <c r="G140" s="28"/>
      <c r="H140" s="28"/>
      <c r="I140" s="28"/>
      <c r="J140" s="28"/>
      <c r="K140" s="28"/>
      <c r="L140" s="28"/>
      <c r="M140" s="598"/>
      <c r="N140" s="599"/>
      <c r="O140" s="600"/>
      <c r="P140" s="601"/>
      <c r="Q140" s="28"/>
      <c r="R140" s="28"/>
      <c r="S140" s="28"/>
      <c r="T140" s="28"/>
      <c r="U140" s="28"/>
      <c r="V140" s="28"/>
      <c r="W140" s="28"/>
      <c r="X140" s="28"/>
      <c r="Y140" s="28"/>
      <c r="Z140" s="25"/>
      <c r="AA140" s="28"/>
      <c r="AB140" s="28"/>
      <c r="AC140" s="602"/>
      <c r="AD140" s="28"/>
      <c r="AE140" s="28"/>
      <c r="AF140" s="28"/>
      <c r="AG140" s="28"/>
      <c r="AH140" s="25"/>
      <c r="AI140" s="25"/>
      <c r="AJ140" s="25"/>
      <c r="AK140" s="25"/>
      <c r="AL140" s="25"/>
      <c r="AM140" s="25"/>
    </row>
    <row r="141" spans="1:39" ht="24.75" customHeight="1" x14ac:dyDescent="0.25">
      <c r="A141" s="25"/>
      <c r="B141" s="427"/>
      <c r="C141" s="28"/>
      <c r="D141" s="28"/>
      <c r="E141" s="28"/>
      <c r="F141" s="28"/>
      <c r="G141" s="28"/>
      <c r="H141" s="28"/>
      <c r="I141" s="28"/>
      <c r="J141" s="28"/>
      <c r="K141" s="28"/>
      <c r="L141" s="28"/>
      <c r="M141" s="598"/>
      <c r="N141" s="599"/>
      <c r="O141" s="600"/>
      <c r="P141" s="601"/>
      <c r="Q141" s="28"/>
      <c r="R141" s="28"/>
      <c r="S141" s="28"/>
      <c r="T141" s="28"/>
      <c r="U141" s="28"/>
      <c r="V141" s="28"/>
      <c r="W141" s="28"/>
      <c r="X141" s="28"/>
      <c r="Y141" s="28"/>
      <c r="Z141" s="25"/>
      <c r="AA141" s="28"/>
      <c r="AB141" s="28"/>
      <c r="AC141" s="602"/>
      <c r="AD141" s="28"/>
      <c r="AE141" s="28"/>
      <c r="AF141" s="28"/>
      <c r="AG141" s="28"/>
      <c r="AH141" s="25"/>
      <c r="AI141" s="25"/>
      <c r="AJ141" s="25"/>
      <c r="AK141" s="25"/>
      <c r="AL141" s="25"/>
      <c r="AM141" s="25"/>
    </row>
    <row r="142" spans="1:39" ht="24.75" customHeight="1" x14ac:dyDescent="0.25">
      <c r="A142" s="25"/>
      <c r="B142" s="427"/>
      <c r="C142" s="28"/>
      <c r="D142" s="28"/>
      <c r="E142" s="28"/>
      <c r="F142" s="28"/>
      <c r="G142" s="28"/>
      <c r="H142" s="28"/>
      <c r="I142" s="28"/>
      <c r="J142" s="28"/>
      <c r="K142" s="28"/>
      <c r="L142" s="28"/>
      <c r="M142" s="598"/>
      <c r="N142" s="599"/>
      <c r="O142" s="600"/>
      <c r="P142" s="601"/>
      <c r="Q142" s="28"/>
      <c r="R142" s="28"/>
      <c r="S142" s="28"/>
      <c r="T142" s="28"/>
      <c r="U142" s="28"/>
      <c r="V142" s="28"/>
      <c r="W142" s="28"/>
      <c r="X142" s="28"/>
      <c r="Y142" s="28"/>
      <c r="Z142" s="25"/>
      <c r="AA142" s="28"/>
      <c r="AB142" s="28"/>
      <c r="AC142" s="602"/>
      <c r="AD142" s="28"/>
      <c r="AE142" s="28"/>
      <c r="AF142" s="28"/>
      <c r="AG142" s="28"/>
      <c r="AH142" s="25"/>
      <c r="AI142" s="25"/>
      <c r="AJ142" s="25"/>
      <c r="AK142" s="25"/>
      <c r="AL142" s="25"/>
      <c r="AM142" s="25"/>
    </row>
    <row r="143" spans="1:39" ht="24.75" customHeight="1" x14ac:dyDescent="0.25">
      <c r="A143" s="25"/>
      <c r="B143" s="427"/>
      <c r="C143" s="28"/>
      <c r="D143" s="28"/>
      <c r="E143" s="28"/>
      <c r="F143" s="28"/>
      <c r="G143" s="28"/>
      <c r="H143" s="28"/>
      <c r="I143" s="28"/>
      <c r="J143" s="28"/>
      <c r="K143" s="28"/>
      <c r="L143" s="28"/>
      <c r="M143" s="598"/>
      <c r="N143" s="599"/>
      <c r="O143" s="600"/>
      <c r="P143" s="601"/>
      <c r="Q143" s="28"/>
      <c r="R143" s="28"/>
      <c r="S143" s="28"/>
      <c r="T143" s="28"/>
      <c r="U143" s="28"/>
      <c r="V143" s="28"/>
      <c r="W143" s="28"/>
      <c r="X143" s="28"/>
      <c r="Y143" s="28"/>
      <c r="Z143" s="25"/>
      <c r="AA143" s="28"/>
      <c r="AB143" s="28"/>
      <c r="AC143" s="602"/>
      <c r="AD143" s="28"/>
      <c r="AE143" s="28"/>
      <c r="AF143" s="28"/>
      <c r="AG143" s="28"/>
      <c r="AH143" s="25"/>
      <c r="AI143" s="25"/>
      <c r="AJ143" s="25"/>
      <c r="AK143" s="25"/>
      <c r="AL143" s="25"/>
      <c r="AM143" s="25"/>
    </row>
    <row r="144" spans="1:39" ht="24.75" customHeight="1" x14ac:dyDescent="0.25">
      <c r="A144" s="25"/>
      <c r="B144" s="427"/>
      <c r="C144" s="28"/>
      <c r="D144" s="28"/>
      <c r="E144" s="28"/>
      <c r="F144" s="28"/>
      <c r="G144" s="28"/>
      <c r="H144" s="28"/>
      <c r="I144" s="28"/>
      <c r="J144" s="28"/>
      <c r="K144" s="28"/>
      <c r="L144" s="28"/>
      <c r="M144" s="598"/>
      <c r="N144" s="599"/>
      <c r="O144" s="600"/>
      <c r="P144" s="601"/>
      <c r="Q144" s="28"/>
      <c r="R144" s="28"/>
      <c r="S144" s="28"/>
      <c r="T144" s="28"/>
      <c r="U144" s="28"/>
      <c r="V144" s="28"/>
      <c r="W144" s="28"/>
      <c r="X144" s="28"/>
      <c r="Y144" s="28"/>
      <c r="Z144" s="25"/>
      <c r="AA144" s="28"/>
      <c r="AB144" s="28"/>
      <c r="AC144" s="602"/>
      <c r="AD144" s="28"/>
      <c r="AE144" s="28"/>
      <c r="AF144" s="28"/>
      <c r="AG144" s="28"/>
      <c r="AH144" s="25"/>
      <c r="AI144" s="25"/>
      <c r="AJ144" s="25"/>
      <c r="AK144" s="25"/>
      <c r="AL144" s="25"/>
      <c r="AM144" s="25"/>
    </row>
    <row r="145" spans="1:39" ht="24.75" customHeight="1" x14ac:dyDescent="0.25">
      <c r="A145" s="25"/>
      <c r="B145" s="427"/>
      <c r="C145" s="28"/>
      <c r="D145" s="28"/>
      <c r="E145" s="28"/>
      <c r="F145" s="28"/>
      <c r="G145" s="28"/>
      <c r="H145" s="28"/>
      <c r="I145" s="28"/>
      <c r="J145" s="28"/>
      <c r="K145" s="28"/>
      <c r="L145" s="28"/>
      <c r="M145" s="598"/>
      <c r="N145" s="599"/>
      <c r="O145" s="600"/>
      <c r="P145" s="601"/>
      <c r="Q145" s="28"/>
      <c r="R145" s="28"/>
      <c r="S145" s="28"/>
      <c r="T145" s="28"/>
      <c r="U145" s="28"/>
      <c r="V145" s="28"/>
      <c r="W145" s="28"/>
      <c r="X145" s="28"/>
      <c r="Y145" s="28"/>
      <c r="Z145" s="25"/>
      <c r="AA145" s="28"/>
      <c r="AB145" s="28"/>
      <c r="AC145" s="602"/>
      <c r="AD145" s="28"/>
      <c r="AE145" s="28"/>
      <c r="AF145" s="28"/>
      <c r="AG145" s="28"/>
      <c r="AH145" s="25"/>
      <c r="AI145" s="25"/>
      <c r="AJ145" s="25"/>
      <c r="AK145" s="25"/>
      <c r="AL145" s="25"/>
      <c r="AM145" s="25"/>
    </row>
    <row r="146" spans="1:39" ht="24.75" customHeight="1" x14ac:dyDescent="0.25">
      <c r="A146" s="25"/>
      <c r="B146" s="427"/>
      <c r="C146" s="28"/>
      <c r="D146" s="28"/>
      <c r="E146" s="28"/>
      <c r="F146" s="28"/>
      <c r="G146" s="28"/>
      <c r="H146" s="28"/>
      <c r="I146" s="28"/>
      <c r="J146" s="28"/>
      <c r="K146" s="28"/>
      <c r="L146" s="28"/>
      <c r="M146" s="598"/>
      <c r="N146" s="599"/>
      <c r="O146" s="600"/>
      <c r="P146" s="601"/>
      <c r="Q146" s="28"/>
      <c r="R146" s="28"/>
      <c r="S146" s="28"/>
      <c r="T146" s="28"/>
      <c r="U146" s="28"/>
      <c r="V146" s="28"/>
      <c r="W146" s="28"/>
      <c r="X146" s="28"/>
      <c r="Y146" s="28"/>
      <c r="Z146" s="25"/>
      <c r="AA146" s="28"/>
      <c r="AB146" s="28"/>
      <c r="AC146" s="602"/>
      <c r="AD146" s="28"/>
      <c r="AE146" s="28"/>
      <c r="AF146" s="28"/>
      <c r="AG146" s="28"/>
      <c r="AH146" s="25"/>
      <c r="AI146" s="25"/>
      <c r="AJ146" s="25"/>
      <c r="AK146" s="25"/>
      <c r="AL146" s="25"/>
      <c r="AM146" s="25"/>
    </row>
    <row r="147" spans="1:39" ht="24.75" customHeight="1" x14ac:dyDescent="0.25">
      <c r="A147" s="25"/>
      <c r="B147" s="427"/>
      <c r="C147" s="28"/>
      <c r="D147" s="28"/>
      <c r="E147" s="28"/>
      <c r="F147" s="28"/>
      <c r="G147" s="28"/>
      <c r="H147" s="28"/>
      <c r="I147" s="28"/>
      <c r="J147" s="28"/>
      <c r="K147" s="28"/>
      <c r="L147" s="28"/>
      <c r="M147" s="598"/>
      <c r="N147" s="599"/>
      <c r="O147" s="600"/>
      <c r="P147" s="601"/>
      <c r="Q147" s="28"/>
      <c r="R147" s="28"/>
      <c r="S147" s="28"/>
      <c r="T147" s="28"/>
      <c r="U147" s="28"/>
      <c r="V147" s="28"/>
      <c r="W147" s="28"/>
      <c r="X147" s="28"/>
      <c r="Y147" s="28"/>
      <c r="Z147" s="25"/>
      <c r="AA147" s="28"/>
      <c r="AB147" s="28"/>
      <c r="AC147" s="602"/>
      <c r="AD147" s="28"/>
      <c r="AE147" s="28"/>
      <c r="AF147" s="28"/>
      <c r="AG147" s="28"/>
      <c r="AH147" s="25"/>
      <c r="AI147" s="25"/>
      <c r="AJ147" s="25"/>
      <c r="AK147" s="25"/>
      <c r="AL147" s="25"/>
      <c r="AM147" s="25"/>
    </row>
    <row r="148" spans="1:39" ht="24.75" customHeight="1" x14ac:dyDescent="0.25">
      <c r="A148" s="25"/>
      <c r="B148" s="427"/>
      <c r="C148" s="28"/>
      <c r="D148" s="28"/>
      <c r="E148" s="28"/>
      <c r="F148" s="28"/>
      <c r="G148" s="28"/>
      <c r="H148" s="28"/>
      <c r="I148" s="28"/>
      <c r="J148" s="28"/>
      <c r="K148" s="28"/>
      <c r="L148" s="28"/>
      <c r="M148" s="598"/>
      <c r="N148" s="599"/>
      <c r="O148" s="600"/>
      <c r="P148" s="601"/>
      <c r="Q148" s="28"/>
      <c r="R148" s="28"/>
      <c r="S148" s="28"/>
      <c r="T148" s="28"/>
      <c r="U148" s="28"/>
      <c r="V148" s="28"/>
      <c r="W148" s="28"/>
      <c r="X148" s="28"/>
      <c r="Y148" s="28"/>
      <c r="Z148" s="25"/>
      <c r="AA148" s="28"/>
      <c r="AB148" s="28"/>
      <c r="AC148" s="602"/>
      <c r="AD148" s="28"/>
      <c r="AE148" s="28"/>
      <c r="AF148" s="28"/>
      <c r="AG148" s="28"/>
      <c r="AH148" s="25"/>
      <c r="AI148" s="25"/>
      <c r="AJ148" s="25"/>
      <c r="AK148" s="25"/>
      <c r="AL148" s="25"/>
      <c r="AM148" s="25"/>
    </row>
    <row r="149" spans="1:39" ht="24.75" customHeight="1" x14ac:dyDescent="0.25">
      <c r="A149" s="25"/>
      <c r="B149" s="427"/>
      <c r="C149" s="28"/>
      <c r="D149" s="28"/>
      <c r="E149" s="28"/>
      <c r="F149" s="28"/>
      <c r="G149" s="28"/>
      <c r="H149" s="28"/>
      <c r="I149" s="28"/>
      <c r="J149" s="28"/>
      <c r="K149" s="28"/>
      <c r="L149" s="28"/>
      <c r="M149" s="598"/>
      <c r="N149" s="599"/>
      <c r="O149" s="600"/>
      <c r="P149" s="601"/>
      <c r="Q149" s="28"/>
      <c r="R149" s="28"/>
      <c r="S149" s="28"/>
      <c r="T149" s="28"/>
      <c r="U149" s="28"/>
      <c r="V149" s="28"/>
      <c r="W149" s="28"/>
      <c r="X149" s="28"/>
      <c r="Y149" s="28"/>
      <c r="Z149" s="25"/>
      <c r="AA149" s="28"/>
      <c r="AB149" s="28"/>
      <c r="AC149" s="602"/>
      <c r="AD149" s="28"/>
      <c r="AE149" s="28"/>
      <c r="AF149" s="28"/>
      <c r="AG149" s="28"/>
      <c r="AH149" s="25"/>
      <c r="AI149" s="25"/>
      <c r="AJ149" s="25"/>
      <c r="AK149" s="25"/>
      <c r="AL149" s="25"/>
      <c r="AM149" s="25"/>
    </row>
    <row r="150" spans="1:39" ht="24.75" customHeight="1" x14ac:dyDescent="0.25">
      <c r="A150" s="25"/>
      <c r="B150" s="427"/>
      <c r="C150" s="28"/>
      <c r="D150" s="28"/>
      <c r="E150" s="28"/>
      <c r="F150" s="28"/>
      <c r="G150" s="28"/>
      <c r="H150" s="28"/>
      <c r="I150" s="28"/>
      <c r="J150" s="28"/>
      <c r="K150" s="28"/>
      <c r="L150" s="28"/>
      <c r="M150" s="598"/>
      <c r="N150" s="599"/>
      <c r="O150" s="600"/>
      <c r="P150" s="601"/>
      <c r="Q150" s="28"/>
      <c r="R150" s="28"/>
      <c r="S150" s="28"/>
      <c r="T150" s="28"/>
      <c r="U150" s="28"/>
      <c r="V150" s="28"/>
      <c r="W150" s="28"/>
      <c r="X150" s="28"/>
      <c r="Y150" s="28"/>
      <c r="Z150" s="25"/>
      <c r="AA150" s="28"/>
      <c r="AB150" s="28"/>
      <c r="AC150" s="602"/>
      <c r="AD150" s="28"/>
      <c r="AE150" s="28"/>
      <c r="AF150" s="28"/>
      <c r="AG150" s="28"/>
      <c r="AH150" s="25"/>
      <c r="AI150" s="25"/>
      <c r="AJ150" s="25"/>
      <c r="AK150" s="25"/>
      <c r="AL150" s="25"/>
      <c r="AM150" s="25"/>
    </row>
    <row r="151" spans="1:39" ht="24.75" customHeight="1" x14ac:dyDescent="0.25">
      <c r="A151" s="25"/>
      <c r="B151" s="427"/>
      <c r="C151" s="28"/>
      <c r="D151" s="28"/>
      <c r="E151" s="28"/>
      <c r="F151" s="28"/>
      <c r="G151" s="28"/>
      <c r="H151" s="28"/>
      <c r="I151" s="28"/>
      <c r="J151" s="28"/>
      <c r="K151" s="28"/>
      <c r="L151" s="28"/>
      <c r="M151" s="598"/>
      <c r="N151" s="599"/>
      <c r="O151" s="600"/>
      <c r="P151" s="601"/>
      <c r="Q151" s="28"/>
      <c r="R151" s="28"/>
      <c r="S151" s="28"/>
      <c r="T151" s="28"/>
      <c r="U151" s="28"/>
      <c r="V151" s="28"/>
      <c r="W151" s="28"/>
      <c r="X151" s="28"/>
      <c r="Y151" s="28"/>
      <c r="Z151" s="25"/>
      <c r="AA151" s="28"/>
      <c r="AB151" s="28"/>
      <c r="AC151" s="602"/>
      <c r="AD151" s="28"/>
      <c r="AE151" s="28"/>
      <c r="AF151" s="28"/>
      <c r="AG151" s="28"/>
      <c r="AH151" s="25"/>
      <c r="AI151" s="25"/>
      <c r="AJ151" s="25"/>
      <c r="AK151" s="25"/>
      <c r="AL151" s="25"/>
      <c r="AM151" s="25"/>
    </row>
    <row r="152" spans="1:39" ht="24.75" customHeight="1" x14ac:dyDescent="0.25">
      <c r="A152" s="25"/>
      <c r="B152" s="427"/>
      <c r="C152" s="28"/>
      <c r="D152" s="28"/>
      <c r="E152" s="28"/>
      <c r="F152" s="28"/>
      <c r="G152" s="28"/>
      <c r="H152" s="28"/>
      <c r="I152" s="28"/>
      <c r="J152" s="28"/>
      <c r="K152" s="28"/>
      <c r="L152" s="28"/>
      <c r="M152" s="598"/>
      <c r="N152" s="599"/>
      <c r="O152" s="600"/>
      <c r="P152" s="601"/>
      <c r="Q152" s="28"/>
      <c r="R152" s="28"/>
      <c r="S152" s="28"/>
      <c r="T152" s="28"/>
      <c r="U152" s="28"/>
      <c r="V152" s="28"/>
      <c r="W152" s="28"/>
      <c r="X152" s="28"/>
      <c r="Y152" s="28"/>
      <c r="Z152" s="25"/>
      <c r="AA152" s="28"/>
      <c r="AB152" s="28"/>
      <c r="AC152" s="602"/>
      <c r="AD152" s="28"/>
      <c r="AE152" s="28"/>
      <c r="AF152" s="28"/>
      <c r="AG152" s="28"/>
      <c r="AH152" s="25"/>
      <c r="AI152" s="25"/>
      <c r="AJ152" s="25"/>
      <c r="AK152" s="25"/>
      <c r="AL152" s="25"/>
      <c r="AM152" s="25"/>
    </row>
    <row r="153" spans="1:39" ht="24.75" customHeight="1" x14ac:dyDescent="0.25">
      <c r="A153" s="25"/>
      <c r="B153" s="427"/>
      <c r="C153" s="28"/>
      <c r="D153" s="28"/>
      <c r="E153" s="28"/>
      <c r="F153" s="28"/>
      <c r="G153" s="28"/>
      <c r="H153" s="28"/>
      <c r="I153" s="28"/>
      <c r="J153" s="28"/>
      <c r="K153" s="28"/>
      <c r="L153" s="28"/>
      <c r="M153" s="598"/>
      <c r="N153" s="599"/>
      <c r="O153" s="600"/>
      <c r="P153" s="601"/>
      <c r="Q153" s="28"/>
      <c r="R153" s="28"/>
      <c r="S153" s="28"/>
      <c r="T153" s="28"/>
      <c r="U153" s="28"/>
      <c r="V153" s="28"/>
      <c r="W153" s="28"/>
      <c r="X153" s="28"/>
      <c r="Y153" s="28"/>
      <c r="Z153" s="25"/>
      <c r="AA153" s="28"/>
      <c r="AB153" s="28"/>
      <c r="AC153" s="602"/>
      <c r="AD153" s="28"/>
      <c r="AE153" s="28"/>
      <c r="AF153" s="28"/>
      <c r="AG153" s="28"/>
      <c r="AH153" s="25"/>
      <c r="AI153" s="25"/>
      <c r="AJ153" s="25"/>
      <c r="AK153" s="25"/>
      <c r="AL153" s="25"/>
      <c r="AM153" s="25"/>
    </row>
    <row r="154" spans="1:39" ht="24.75" customHeight="1" x14ac:dyDescent="0.25">
      <c r="A154" s="25"/>
      <c r="B154" s="427"/>
      <c r="C154" s="28"/>
      <c r="D154" s="28"/>
      <c r="E154" s="28"/>
      <c r="F154" s="28"/>
      <c r="G154" s="28"/>
      <c r="H154" s="28"/>
      <c r="I154" s="28"/>
      <c r="J154" s="28"/>
      <c r="K154" s="28"/>
      <c r="L154" s="28"/>
      <c r="M154" s="598"/>
      <c r="N154" s="599"/>
      <c r="O154" s="600"/>
      <c r="P154" s="601"/>
      <c r="Q154" s="28"/>
      <c r="R154" s="28"/>
      <c r="S154" s="28"/>
      <c r="T154" s="28"/>
      <c r="U154" s="28"/>
      <c r="V154" s="28"/>
      <c r="W154" s="28"/>
      <c r="X154" s="28"/>
      <c r="Y154" s="28"/>
      <c r="Z154" s="25"/>
      <c r="AA154" s="28"/>
      <c r="AB154" s="28"/>
      <c r="AC154" s="602"/>
      <c r="AD154" s="28"/>
      <c r="AE154" s="28"/>
      <c r="AF154" s="28"/>
      <c r="AG154" s="28"/>
      <c r="AH154" s="25"/>
      <c r="AI154" s="25"/>
      <c r="AJ154" s="25"/>
      <c r="AK154" s="25"/>
      <c r="AL154" s="25"/>
      <c r="AM154" s="25"/>
    </row>
    <row r="155" spans="1:39" ht="24.75" customHeight="1" x14ac:dyDescent="0.25">
      <c r="A155" s="25"/>
      <c r="B155" s="427"/>
      <c r="C155" s="28"/>
      <c r="D155" s="28"/>
      <c r="E155" s="28"/>
      <c r="F155" s="28"/>
      <c r="G155" s="28"/>
      <c r="H155" s="28"/>
      <c r="I155" s="28"/>
      <c r="J155" s="28"/>
      <c r="K155" s="28"/>
      <c r="L155" s="28"/>
      <c r="M155" s="598"/>
      <c r="N155" s="599"/>
      <c r="O155" s="600"/>
      <c r="P155" s="601"/>
      <c r="Q155" s="28"/>
      <c r="R155" s="28"/>
      <c r="S155" s="28"/>
      <c r="T155" s="28"/>
      <c r="U155" s="28"/>
      <c r="V155" s="28"/>
      <c r="W155" s="28"/>
      <c r="X155" s="28"/>
      <c r="Y155" s="28"/>
      <c r="Z155" s="25"/>
      <c r="AA155" s="28"/>
      <c r="AB155" s="28"/>
      <c r="AC155" s="602"/>
      <c r="AD155" s="28"/>
      <c r="AE155" s="28"/>
      <c r="AF155" s="28"/>
      <c r="AG155" s="28"/>
      <c r="AH155" s="25"/>
      <c r="AI155" s="25"/>
      <c r="AJ155" s="25"/>
      <c r="AK155" s="25"/>
      <c r="AL155" s="25"/>
      <c r="AM155" s="25"/>
    </row>
  </sheetData>
  <sheetProtection algorithmName="SHA-512" hashValue="iICsAeX42H/JAZssPmiOWHv4/m0GdL6YURocgCFjxdJK8kAbWR+JIFnEZXypqIpZZIaqYMrpcC4t4HKgq1ecUg==" saltValue="jXilke7Tgwq6Wgv+shHwgA==" spinCount="100000" sheet="1" objects="1" scenarios="1"/>
  <mergeCells count="17">
    <mergeCell ref="AE3:AE4"/>
    <mergeCell ref="AF3:AF4"/>
    <mergeCell ref="AG3:AG4"/>
    <mergeCell ref="I3:I4"/>
    <mergeCell ref="M3:W3"/>
    <mergeCell ref="Z3:Z4"/>
    <mergeCell ref="AB3:AB4"/>
    <mergeCell ref="AC3:AC4"/>
    <mergeCell ref="AD3:AD4"/>
    <mergeCell ref="B1:AF1"/>
    <mergeCell ref="AF2:AG2"/>
    <mergeCell ref="K3:K4"/>
    <mergeCell ref="A3:A4"/>
    <mergeCell ref="B3:B4"/>
    <mergeCell ref="C3:C4"/>
    <mergeCell ref="G3:G4"/>
    <mergeCell ref="H3:H4"/>
  </mergeCells>
  <pageMargins left="0.19685039370078741" right="0" top="0.35433070866141736" bottom="0" header="0.11811023622047245" footer="0.11811023622047245"/>
  <pageSetup paperSize="8" scale="97" orientation="landscape" r:id="rId1"/>
  <headerFooter>
    <oddFooter>&amp;C&amp;P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36F8A-BAA5-4407-8752-0B58195D1A48}">
  <sheetPr>
    <tabColor theme="6" tint="-0.499984740745262"/>
  </sheetPr>
  <dimension ref="A1:AN107"/>
  <sheetViews>
    <sheetView showGridLines="0" showRowColHeaders="0" zoomScale="90" zoomScaleNormal="90" workbookViewId="0">
      <pane ySplit="4" topLeftCell="A5" activePane="bottomLeft" state="frozen"/>
      <selection pane="bottomLeft" activeCell="AN107" sqref="A1:AN107"/>
    </sheetView>
  </sheetViews>
  <sheetFormatPr defaultColWidth="9.140625" defaultRowHeight="26.25" customHeight="1" x14ac:dyDescent="0.25"/>
  <cols>
    <col min="1" max="1" width="11.7109375" style="8" customWidth="1"/>
    <col min="2" max="2" width="118.5703125" style="8" customWidth="1"/>
    <col min="3" max="3" width="7" style="7" hidden="1" customWidth="1"/>
    <col min="4" max="4" width="6.5703125" style="7" hidden="1" customWidth="1"/>
    <col min="5" max="5" width="5.5703125" style="7" hidden="1" customWidth="1"/>
    <col min="6" max="6" width="6.140625" style="7" hidden="1" customWidth="1"/>
    <col min="7" max="7" width="7.42578125" style="8" hidden="1" customWidth="1"/>
    <col min="8" max="8" width="7.28515625" style="8" hidden="1" customWidth="1"/>
    <col min="9" max="9" width="3.5703125" style="8" hidden="1" customWidth="1"/>
    <col min="10" max="10" width="4.28515625" style="8" hidden="1" customWidth="1"/>
    <col min="11" max="11" width="26.7109375" style="11" hidden="1" customWidth="1"/>
    <col min="12" max="12" width="0.140625" style="8" hidden="1" customWidth="1"/>
    <col min="13" max="13" width="6.42578125" style="8" hidden="1" customWidth="1"/>
    <col min="14" max="14" width="5.7109375" style="6" hidden="1" customWidth="1"/>
    <col min="15" max="15" width="6.7109375" style="12" hidden="1" customWidth="1"/>
    <col min="16" max="16" width="6.42578125" style="23" hidden="1" customWidth="1"/>
    <col min="17" max="17" width="6.7109375" style="8" hidden="1" customWidth="1"/>
    <col min="18" max="18" width="4.140625" style="8" hidden="1" customWidth="1"/>
    <col min="19" max="19" width="6.5703125" style="8" hidden="1" customWidth="1"/>
    <col min="20" max="20" width="6" style="8" hidden="1" customWidth="1"/>
    <col min="21" max="21" width="6.42578125" style="8" hidden="1" customWidth="1"/>
    <col min="22" max="22" width="5.42578125" style="8" hidden="1" customWidth="1"/>
    <col min="23" max="23" width="5.7109375" style="9" hidden="1" customWidth="1"/>
    <col min="24" max="24" width="4.42578125" style="8" hidden="1" customWidth="1"/>
    <col min="25" max="25" width="4.5703125" style="8" hidden="1" customWidth="1"/>
    <col min="26" max="26" width="12.42578125" style="5" customWidth="1"/>
    <col min="27" max="27" width="0.140625" style="8" customWidth="1"/>
    <col min="28" max="28" width="6.140625" style="24" hidden="1" customWidth="1"/>
    <col min="29" max="29" width="23.28515625" style="24" hidden="1" customWidth="1"/>
    <col min="30" max="30" width="6.42578125" style="8" hidden="1" customWidth="1"/>
    <col min="31" max="31" width="5.85546875" style="8" hidden="1" customWidth="1"/>
    <col min="32" max="32" width="18" style="11" hidden="1" customWidth="1"/>
    <col min="33" max="33" width="6.42578125" style="8" hidden="1" customWidth="1"/>
    <col min="34" max="34" width="12.42578125" style="8" hidden="1" customWidth="1"/>
    <col min="35" max="16384" width="9.140625" style="8"/>
  </cols>
  <sheetData>
    <row r="1" spans="1:40" s="4" customFormat="1" ht="26.25" customHeight="1" x14ac:dyDescent="0.25">
      <c r="A1" s="298"/>
      <c r="B1" s="299" t="s">
        <v>927</v>
      </c>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1" t="s">
        <v>1</v>
      </c>
      <c r="AH1" s="161"/>
      <c r="AI1" s="161"/>
      <c r="AJ1" s="161"/>
      <c r="AK1" s="161"/>
      <c r="AL1" s="161"/>
      <c r="AM1" s="161"/>
      <c r="AN1" s="161"/>
    </row>
    <row r="2" spans="1:40" s="4" customFormat="1" ht="26.25" customHeight="1" x14ac:dyDescent="0.25">
      <c r="A2" s="298"/>
      <c r="B2" s="603"/>
      <c r="C2" s="298"/>
      <c r="D2" s="298"/>
      <c r="E2" s="298"/>
      <c r="F2" s="298"/>
      <c r="G2" s="298"/>
      <c r="H2" s="298"/>
      <c r="I2" s="161"/>
      <c r="J2" s="161"/>
      <c r="K2" s="604" t="s">
        <v>2</v>
      </c>
      <c r="L2" s="604"/>
      <c r="M2" s="604">
        <f>'[1]Kontroliniai dydžiai '!Q7</f>
        <v>23957.662499999999</v>
      </c>
      <c r="N2" s="435"/>
      <c r="O2" s="306">
        <f>M2-M6</f>
        <v>1086.1624999999949</v>
      </c>
      <c r="P2" s="161"/>
      <c r="Q2" s="161"/>
      <c r="R2" s="161"/>
      <c r="S2" s="161"/>
      <c r="T2" s="161"/>
      <c r="U2" s="161"/>
      <c r="V2" s="161"/>
      <c r="W2" s="276"/>
      <c r="X2" s="161"/>
      <c r="Y2" s="161"/>
      <c r="Z2" s="298"/>
      <c r="AA2" s="276"/>
      <c r="AB2" s="305"/>
      <c r="AC2" s="305"/>
      <c r="AD2" s="161"/>
      <c r="AE2" s="161"/>
      <c r="AF2" s="307"/>
      <c r="AG2" s="308"/>
      <c r="AH2" s="161"/>
      <c r="AI2" s="161"/>
      <c r="AJ2" s="161"/>
      <c r="AK2" s="161"/>
      <c r="AL2" s="161"/>
      <c r="AM2" s="161"/>
      <c r="AN2" s="161"/>
    </row>
    <row r="3" spans="1:40" s="3" customFormat="1" ht="26.25" customHeight="1" x14ac:dyDescent="0.25">
      <c r="A3" s="605" t="s">
        <v>3</v>
      </c>
      <c r="B3" s="605" t="s">
        <v>4</v>
      </c>
      <c r="C3" s="133" t="s">
        <v>5</v>
      </c>
      <c r="D3" s="606"/>
      <c r="E3" s="606"/>
      <c r="F3" s="606"/>
      <c r="G3" s="607" t="s">
        <v>6</v>
      </c>
      <c r="H3" s="608" t="s">
        <v>7</v>
      </c>
      <c r="I3" s="609"/>
      <c r="J3" s="610"/>
      <c r="K3" s="611" t="s">
        <v>468</v>
      </c>
      <c r="L3" s="610"/>
      <c r="M3" s="612" t="s">
        <v>8</v>
      </c>
      <c r="N3" s="130"/>
      <c r="O3" s="130"/>
      <c r="P3" s="130"/>
      <c r="Q3" s="130"/>
      <c r="R3" s="130"/>
      <c r="S3" s="130"/>
      <c r="T3" s="130"/>
      <c r="U3" s="130"/>
      <c r="V3" s="130"/>
      <c r="W3" s="130"/>
      <c r="X3" s="130"/>
      <c r="Y3" s="613"/>
      <c r="Z3" s="325" t="s">
        <v>921</v>
      </c>
      <c r="AA3" s="127"/>
      <c r="AB3" s="452" t="s">
        <v>9</v>
      </c>
      <c r="AC3" s="452" t="s">
        <v>926</v>
      </c>
      <c r="AD3" s="453" t="s">
        <v>10</v>
      </c>
      <c r="AE3" s="132" t="s">
        <v>11</v>
      </c>
      <c r="AF3" s="132" t="s">
        <v>740</v>
      </c>
      <c r="AG3" s="454" t="s">
        <v>12</v>
      </c>
      <c r="AH3" s="120"/>
      <c r="AI3" s="120"/>
      <c r="AJ3" s="120"/>
      <c r="AK3" s="120"/>
      <c r="AL3" s="120"/>
      <c r="AM3" s="120"/>
      <c r="AN3" s="120"/>
    </row>
    <row r="4" spans="1:40" s="3" customFormat="1" ht="26.25" customHeight="1" x14ac:dyDescent="0.25">
      <c r="A4" s="605"/>
      <c r="B4" s="605"/>
      <c r="C4" s="133"/>
      <c r="D4" s="614" t="s">
        <v>13</v>
      </c>
      <c r="E4" s="615" t="s">
        <v>14</v>
      </c>
      <c r="F4" s="615" t="s">
        <v>15</v>
      </c>
      <c r="G4" s="607"/>
      <c r="H4" s="608"/>
      <c r="I4" s="609"/>
      <c r="J4" s="610"/>
      <c r="K4" s="611"/>
      <c r="L4" s="610"/>
      <c r="M4" s="613" t="s">
        <v>928</v>
      </c>
      <c r="N4" s="616" t="s">
        <v>16</v>
      </c>
      <c r="O4" s="617" t="s">
        <v>743</v>
      </c>
      <c r="P4" s="618" t="s">
        <v>17</v>
      </c>
      <c r="Q4" s="619" t="s">
        <v>744</v>
      </c>
      <c r="R4" s="619" t="s">
        <v>745</v>
      </c>
      <c r="S4" s="619" t="s">
        <v>746</v>
      </c>
      <c r="T4" s="619" t="s">
        <v>747</v>
      </c>
      <c r="U4" s="620" t="s">
        <v>18</v>
      </c>
      <c r="V4" s="619" t="s">
        <v>748</v>
      </c>
      <c r="W4" s="619" t="s">
        <v>469</v>
      </c>
      <c r="X4" s="619" t="s">
        <v>749</v>
      </c>
      <c r="Y4" s="471" t="s">
        <v>19</v>
      </c>
      <c r="Z4" s="325"/>
      <c r="AA4" s="134" t="s">
        <v>20</v>
      </c>
      <c r="AB4" s="452"/>
      <c r="AC4" s="452"/>
      <c r="AD4" s="453"/>
      <c r="AE4" s="132"/>
      <c r="AF4" s="132"/>
      <c r="AG4" s="453"/>
      <c r="AH4" s="120"/>
      <c r="AI4" s="120"/>
      <c r="AJ4" s="120"/>
      <c r="AK4" s="120"/>
      <c r="AL4" s="120"/>
      <c r="AM4" s="120"/>
      <c r="AN4" s="120"/>
    </row>
    <row r="5" spans="1:40" s="3" customFormat="1" ht="20.25" customHeight="1" x14ac:dyDescent="0.25">
      <c r="A5" s="135">
        <v>1</v>
      </c>
      <c r="B5" s="135">
        <v>2</v>
      </c>
      <c r="C5" s="135">
        <v>3</v>
      </c>
      <c r="D5" s="136" t="s">
        <v>21</v>
      </c>
      <c r="E5" s="137" t="s">
        <v>22</v>
      </c>
      <c r="F5" s="137" t="s">
        <v>23</v>
      </c>
      <c r="G5" s="473">
        <v>4</v>
      </c>
      <c r="H5" s="474" t="s">
        <v>24</v>
      </c>
      <c r="I5" s="144">
        <v>5</v>
      </c>
      <c r="J5" s="144">
        <v>6</v>
      </c>
      <c r="K5" s="475">
        <v>7</v>
      </c>
      <c r="L5" s="475"/>
      <c r="M5" s="476">
        <v>8</v>
      </c>
      <c r="N5" s="477" t="s">
        <v>25</v>
      </c>
      <c r="O5" s="478">
        <v>9</v>
      </c>
      <c r="P5" s="479" t="s">
        <v>26</v>
      </c>
      <c r="Q5" s="480">
        <v>10</v>
      </c>
      <c r="R5" s="480">
        <v>11</v>
      </c>
      <c r="S5" s="480">
        <v>12</v>
      </c>
      <c r="T5" s="480">
        <v>13</v>
      </c>
      <c r="U5" s="481"/>
      <c r="V5" s="480">
        <v>14</v>
      </c>
      <c r="W5" s="476">
        <v>15</v>
      </c>
      <c r="X5" s="480" t="s">
        <v>27</v>
      </c>
      <c r="Y5" s="474">
        <v>0</v>
      </c>
      <c r="Z5" s="343">
        <v>3</v>
      </c>
      <c r="AA5" s="144">
        <v>17</v>
      </c>
      <c r="AB5" s="621">
        <v>18</v>
      </c>
      <c r="AC5" s="622">
        <v>19</v>
      </c>
      <c r="AD5" s="144">
        <v>20</v>
      </c>
      <c r="AE5" s="148">
        <v>21</v>
      </c>
      <c r="AF5" s="148">
        <v>22</v>
      </c>
      <c r="AG5" s="120">
        <v>23</v>
      </c>
      <c r="AH5" s="120"/>
      <c r="AI5" s="120"/>
      <c r="AJ5" s="120"/>
      <c r="AK5" s="120"/>
      <c r="AL5" s="120"/>
      <c r="AM5" s="120"/>
      <c r="AN5" s="120"/>
    </row>
    <row r="6" spans="1:40" s="9" customFormat="1" ht="26.25" customHeight="1" x14ac:dyDescent="0.25">
      <c r="A6" s="484">
        <v>33</v>
      </c>
      <c r="B6" s="623" t="s">
        <v>470</v>
      </c>
      <c r="C6" s="624">
        <f t="shared" ref="C6:AG6" si="0">C7+C37+C82</f>
        <v>49820.899999999987</v>
      </c>
      <c r="D6" s="624">
        <f t="shared" si="0"/>
        <v>20017.300000000003</v>
      </c>
      <c r="E6" s="624">
        <f t="shared" si="0"/>
        <v>1708.1</v>
      </c>
      <c r="F6" s="624">
        <f t="shared" si="0"/>
        <v>3764.3</v>
      </c>
      <c r="G6" s="624">
        <f t="shared" si="0"/>
        <v>15.7</v>
      </c>
      <c r="H6" s="624">
        <f t="shared" si="0"/>
        <v>0</v>
      </c>
      <c r="I6" s="624">
        <f t="shared" si="0"/>
        <v>0</v>
      </c>
      <c r="J6" s="624">
        <f t="shared" si="0"/>
        <v>0</v>
      </c>
      <c r="K6" s="624"/>
      <c r="L6" s="624">
        <f t="shared" si="0"/>
        <v>0</v>
      </c>
      <c r="M6" s="624">
        <f t="shared" si="0"/>
        <v>22871.500000000004</v>
      </c>
      <c r="N6" s="486">
        <f t="shared" si="0"/>
        <v>1736.5</v>
      </c>
      <c r="O6" s="624">
        <f t="shared" si="0"/>
        <v>2304.2999999999997</v>
      </c>
      <c r="P6" s="624">
        <f t="shared" si="0"/>
        <v>0</v>
      </c>
      <c r="Q6" s="624">
        <f t="shared" si="0"/>
        <v>24519.8</v>
      </c>
      <c r="R6" s="624">
        <f t="shared" si="0"/>
        <v>21.7</v>
      </c>
      <c r="S6" s="624">
        <f t="shared" si="0"/>
        <v>669.1</v>
      </c>
      <c r="T6" s="624">
        <f>T7+T37+T82</f>
        <v>2960.6</v>
      </c>
      <c r="U6" s="624">
        <f t="shared" si="0"/>
        <v>28171.199999999997</v>
      </c>
      <c r="V6" s="624">
        <f t="shared" si="0"/>
        <v>0</v>
      </c>
      <c r="W6" s="624">
        <f t="shared" si="0"/>
        <v>0</v>
      </c>
      <c r="X6" s="624">
        <f t="shared" si="0"/>
        <v>0</v>
      </c>
      <c r="Y6" s="624">
        <f t="shared" si="0"/>
        <v>0</v>
      </c>
      <c r="Z6" s="625">
        <f t="shared" si="0"/>
        <v>53347.000000000022</v>
      </c>
      <c r="AA6" s="624">
        <f t="shared" si="0"/>
        <v>0</v>
      </c>
      <c r="AB6" s="626">
        <f t="shared" si="0"/>
        <v>6249.3</v>
      </c>
      <c r="AC6" s="626"/>
      <c r="AD6" s="624">
        <f t="shared" si="0"/>
        <v>59468.3</v>
      </c>
      <c r="AE6" s="624">
        <f t="shared" si="0"/>
        <v>1151.0999999999999</v>
      </c>
      <c r="AF6" s="624"/>
      <c r="AG6" s="624">
        <f t="shared" si="0"/>
        <v>60619.4</v>
      </c>
      <c r="AH6" s="80"/>
      <c r="AI6" s="80"/>
      <c r="AJ6" s="80"/>
      <c r="AK6" s="80"/>
      <c r="AL6" s="80"/>
      <c r="AM6" s="80"/>
      <c r="AN6" s="80"/>
    </row>
    <row r="7" spans="1:40" ht="26.25" customHeight="1" x14ac:dyDescent="0.25">
      <c r="A7" s="627" t="s">
        <v>471</v>
      </c>
      <c r="B7" s="628" t="s">
        <v>472</v>
      </c>
      <c r="C7" s="629">
        <f>C8+C26+C29</f>
        <v>6567.4</v>
      </c>
      <c r="D7" s="629">
        <f t="shared" ref="D7:AG7" si="1">D8+D26+D29</f>
        <v>5194.0999999999995</v>
      </c>
      <c r="E7" s="629">
        <f t="shared" si="1"/>
        <v>153.6</v>
      </c>
      <c r="F7" s="629">
        <f t="shared" si="1"/>
        <v>1158</v>
      </c>
      <c r="G7" s="629">
        <f t="shared" si="1"/>
        <v>0</v>
      </c>
      <c r="H7" s="629">
        <f t="shared" si="1"/>
        <v>0</v>
      </c>
      <c r="I7" s="629">
        <f t="shared" si="1"/>
        <v>0</v>
      </c>
      <c r="J7" s="629">
        <f t="shared" si="1"/>
        <v>0</v>
      </c>
      <c r="K7" s="629"/>
      <c r="L7" s="629">
        <f t="shared" si="1"/>
        <v>0</v>
      </c>
      <c r="M7" s="629">
        <f t="shared" si="1"/>
        <v>6426.7000000000007</v>
      </c>
      <c r="N7" s="630">
        <f t="shared" si="1"/>
        <v>1141.0999999999999</v>
      </c>
      <c r="O7" s="629">
        <f t="shared" si="1"/>
        <v>177.1</v>
      </c>
      <c r="P7" s="629">
        <f t="shared" si="1"/>
        <v>0</v>
      </c>
      <c r="Q7" s="629">
        <f t="shared" si="1"/>
        <v>0</v>
      </c>
      <c r="R7" s="629">
        <f t="shared" si="1"/>
        <v>0</v>
      </c>
      <c r="S7" s="629">
        <f t="shared" si="1"/>
        <v>62</v>
      </c>
      <c r="T7" s="629">
        <f t="shared" si="1"/>
        <v>0</v>
      </c>
      <c r="U7" s="629">
        <f t="shared" si="1"/>
        <v>62</v>
      </c>
      <c r="V7" s="629">
        <f t="shared" si="1"/>
        <v>0</v>
      </c>
      <c r="W7" s="629">
        <f t="shared" si="1"/>
        <v>0</v>
      </c>
      <c r="X7" s="629">
        <f t="shared" si="1"/>
        <v>0</v>
      </c>
      <c r="Y7" s="629">
        <f t="shared" si="1"/>
        <v>0</v>
      </c>
      <c r="Z7" s="631">
        <f>Z8+Z26+Z29</f>
        <v>6665.8</v>
      </c>
      <c r="AA7" s="629">
        <f t="shared" si="1"/>
        <v>0</v>
      </c>
      <c r="AB7" s="494">
        <f t="shared" si="1"/>
        <v>2441.1000000000004</v>
      </c>
      <c r="AC7" s="494"/>
      <c r="AD7" s="629">
        <f t="shared" si="1"/>
        <v>8978.9</v>
      </c>
      <c r="AE7" s="629">
        <f t="shared" si="1"/>
        <v>1151.0999999999999</v>
      </c>
      <c r="AF7" s="629"/>
      <c r="AG7" s="629">
        <f t="shared" si="1"/>
        <v>10130</v>
      </c>
      <c r="AH7" s="29"/>
      <c r="AI7" s="29"/>
      <c r="AJ7" s="29"/>
      <c r="AK7" s="29"/>
      <c r="AL7" s="29"/>
      <c r="AM7" s="29"/>
      <c r="AN7" s="29"/>
    </row>
    <row r="8" spans="1:40" s="9" customFormat="1" ht="26.25" customHeight="1" x14ac:dyDescent="0.25">
      <c r="A8" s="632" t="s">
        <v>473</v>
      </c>
      <c r="B8" s="633" t="s">
        <v>474</v>
      </c>
      <c r="C8" s="634">
        <f>C9+C10+C17+C18+C19+C20+C21+C22+C23</f>
        <v>3246.8999999999996</v>
      </c>
      <c r="D8" s="634">
        <f t="shared" ref="D8:AA8" si="2">D9+D10+D17+D18+D19+D20+D21+D22+D23</f>
        <v>2556.8999999999996</v>
      </c>
      <c r="E8" s="634">
        <f t="shared" si="2"/>
        <v>143.6</v>
      </c>
      <c r="F8" s="634">
        <f t="shared" si="2"/>
        <v>484.7</v>
      </c>
      <c r="G8" s="634">
        <f t="shared" si="2"/>
        <v>0</v>
      </c>
      <c r="H8" s="634">
        <f t="shared" si="2"/>
        <v>0</v>
      </c>
      <c r="I8" s="634">
        <f t="shared" si="2"/>
        <v>0</v>
      </c>
      <c r="J8" s="634">
        <f t="shared" si="2"/>
        <v>0</v>
      </c>
      <c r="K8" s="634"/>
      <c r="L8" s="634">
        <f t="shared" si="2"/>
        <v>0</v>
      </c>
      <c r="M8" s="634">
        <f>M9+M10+M17+M18+M19+M20+M21+M22+M23+M24+M25</f>
        <v>3210.5000000000005</v>
      </c>
      <c r="N8" s="549">
        <f>N9+N10+N17+N18+N19+N20+N21+N22+N23+N24+N25</f>
        <v>825.1</v>
      </c>
      <c r="O8" s="634">
        <f t="shared" ref="O8:T8" si="3">O9+O10+O17+O18+O19+O20+O21+O22+O23+O24+O25</f>
        <v>165.1</v>
      </c>
      <c r="P8" s="634">
        <f t="shared" si="3"/>
        <v>0</v>
      </c>
      <c r="Q8" s="634">
        <f t="shared" si="3"/>
        <v>0</v>
      </c>
      <c r="R8" s="634">
        <f t="shared" si="3"/>
        <v>0</v>
      </c>
      <c r="S8" s="634">
        <f t="shared" si="3"/>
        <v>62</v>
      </c>
      <c r="T8" s="634">
        <f t="shared" si="3"/>
        <v>0</v>
      </c>
      <c r="U8" s="634">
        <f>U9+U10+U17+U18+U19+U20+U21+U22+U23+U24+U25</f>
        <v>62</v>
      </c>
      <c r="V8" s="634">
        <f t="shared" ref="V8:W8" si="4">V9+V10+V17+V18+V19+V20+V21+V22+V23+V24+V25</f>
        <v>0</v>
      </c>
      <c r="W8" s="634">
        <f t="shared" si="4"/>
        <v>0</v>
      </c>
      <c r="X8" s="634">
        <f t="shared" si="2"/>
        <v>0</v>
      </c>
      <c r="Y8" s="634">
        <f t="shared" si="2"/>
        <v>0</v>
      </c>
      <c r="Z8" s="635">
        <f>Z9+Z10+Z17+Z18+Z19+Z20+Z21+Z22+Z23+Z24+Z25</f>
        <v>3437.6000000000004</v>
      </c>
      <c r="AA8" s="634">
        <f t="shared" si="2"/>
        <v>0</v>
      </c>
      <c r="AB8" s="636">
        <f>AB9+AB10+AB17+AB18+AB19+AB20+AB21+AB22+AB23+AB24+AB25</f>
        <v>839.9</v>
      </c>
      <c r="AC8" s="636"/>
      <c r="AD8" s="634">
        <f>AD9+AD10+AD17+AD18+AD19+AD20+AD21+AD22+AD23+AD24+AD25</f>
        <v>4277.5</v>
      </c>
      <c r="AE8" s="634">
        <f>AE9+AE10+AE17+AE18+AE19+AE20+AE21+AE22+AE23+AE24+AE25</f>
        <v>87</v>
      </c>
      <c r="AF8" s="634"/>
      <c r="AG8" s="634">
        <f>AG9+AG10+AG17+AG18+AG19+AG20+AG21+AG22+AG23+AG24+AG25</f>
        <v>4364.5</v>
      </c>
      <c r="AH8" s="80"/>
      <c r="AI8" s="80"/>
      <c r="AJ8" s="80"/>
      <c r="AK8" s="80"/>
      <c r="AL8" s="80"/>
      <c r="AM8" s="80"/>
      <c r="AN8" s="80"/>
    </row>
    <row r="9" spans="1:40" ht="26.25" customHeight="1" x14ac:dyDescent="0.25">
      <c r="A9" s="363" t="s">
        <v>475</v>
      </c>
      <c r="B9" s="637" t="s">
        <v>476</v>
      </c>
      <c r="C9" s="92">
        <v>741.9</v>
      </c>
      <c r="D9" s="92">
        <v>630.5</v>
      </c>
      <c r="E9" s="92">
        <v>4.5</v>
      </c>
      <c r="F9" s="92">
        <f>44.7+0.1+0.4</f>
        <v>45.2</v>
      </c>
      <c r="G9" s="638"/>
      <c r="H9" s="638"/>
      <c r="I9" s="638"/>
      <c r="J9" s="638"/>
      <c r="K9" s="596" t="s">
        <v>477</v>
      </c>
      <c r="L9" s="638"/>
      <c r="M9" s="639">
        <f>697.5-104.9-6</f>
        <v>586.6</v>
      </c>
      <c r="N9" s="640"/>
      <c r="O9" s="639">
        <f>1.5+4.5</f>
        <v>6</v>
      </c>
      <c r="P9" s="641"/>
      <c r="Q9" s="642"/>
      <c r="R9" s="642"/>
      <c r="S9" s="642">
        <v>62</v>
      </c>
      <c r="T9" s="642"/>
      <c r="U9" s="512">
        <f>SUM(Q9:T9)</f>
        <v>62</v>
      </c>
      <c r="V9" s="518"/>
      <c r="W9" s="570"/>
      <c r="X9" s="518"/>
      <c r="Y9" s="518"/>
      <c r="Z9" s="514">
        <f>M9+O9+U9+V9+W9+X9</f>
        <v>654.6</v>
      </c>
      <c r="AA9" s="638"/>
      <c r="AB9" s="643">
        <f>104.9+6+104.9</f>
        <v>215.8</v>
      </c>
      <c r="AC9" s="643" t="s">
        <v>478</v>
      </c>
      <c r="AD9" s="644">
        <f>Z9+AB9</f>
        <v>870.40000000000009</v>
      </c>
      <c r="AE9" s="645">
        <v>10.7</v>
      </c>
      <c r="AF9" s="646" t="s">
        <v>479</v>
      </c>
      <c r="AG9" s="644">
        <f>AD9+AE9</f>
        <v>881.10000000000014</v>
      </c>
      <c r="AH9" s="29"/>
      <c r="AI9" s="29"/>
      <c r="AJ9" s="29"/>
      <c r="AK9" s="29"/>
      <c r="AL9" s="29"/>
      <c r="AM9" s="29"/>
      <c r="AN9" s="29"/>
    </row>
    <row r="10" spans="1:40" ht="26.25" customHeight="1" x14ac:dyDescent="0.25">
      <c r="A10" s="363" t="s">
        <v>480</v>
      </c>
      <c r="B10" s="637" t="s">
        <v>481</v>
      </c>
      <c r="C10" s="92">
        <v>617.1</v>
      </c>
      <c r="D10" s="92">
        <v>548.1</v>
      </c>
      <c r="E10" s="92">
        <v>21</v>
      </c>
      <c r="F10" s="92">
        <f>38+10</f>
        <v>48</v>
      </c>
      <c r="G10" s="638"/>
      <c r="H10" s="638"/>
      <c r="I10" s="638"/>
      <c r="J10" s="638"/>
      <c r="K10" s="596" t="s">
        <v>482</v>
      </c>
      <c r="L10" s="638"/>
      <c r="M10" s="639">
        <f>644.2-85.4-9.4</f>
        <v>549.40000000000009</v>
      </c>
      <c r="N10" s="640"/>
      <c r="O10" s="639">
        <f>1+25</f>
        <v>26</v>
      </c>
      <c r="P10" s="641"/>
      <c r="Q10" s="642"/>
      <c r="R10" s="642"/>
      <c r="S10" s="642"/>
      <c r="T10" s="642"/>
      <c r="U10" s="512">
        <f t="shared" ref="U10:U79" si="5">SUM(Q10:T10)</f>
        <v>0</v>
      </c>
      <c r="V10" s="638"/>
      <c r="W10" s="647"/>
      <c r="X10" s="638"/>
      <c r="Y10" s="638"/>
      <c r="Z10" s="514">
        <f t="shared" ref="Z10:Z79" si="6">M10+O10+U10+V10+W10+X10</f>
        <v>575.40000000000009</v>
      </c>
      <c r="AA10" s="638"/>
      <c r="AB10" s="643">
        <f>58.5+85.4+9.4</f>
        <v>153.30000000000001</v>
      </c>
      <c r="AC10" s="643" t="s">
        <v>483</v>
      </c>
      <c r="AD10" s="644">
        <f t="shared" ref="AD10:AD79" si="7">Z10+AB10</f>
        <v>728.7</v>
      </c>
      <c r="AE10" s="645">
        <v>25</v>
      </c>
      <c r="AF10" s="646" t="s">
        <v>484</v>
      </c>
      <c r="AG10" s="644">
        <f t="shared" ref="AG10:AG79" si="8">AD10+AE10</f>
        <v>753.7</v>
      </c>
      <c r="AH10" s="29"/>
      <c r="AI10" s="29"/>
      <c r="AJ10" s="29"/>
      <c r="AK10" s="29"/>
      <c r="AL10" s="29"/>
      <c r="AM10" s="29"/>
      <c r="AN10" s="29"/>
    </row>
    <row r="11" spans="1:40" ht="26.25" hidden="1" customHeight="1" x14ac:dyDescent="0.25">
      <c r="A11" s="363"/>
      <c r="B11" s="637"/>
      <c r="C11" s="92"/>
      <c r="D11" s="92"/>
      <c r="E11" s="92"/>
      <c r="F11" s="92"/>
      <c r="G11" s="638"/>
      <c r="H11" s="638"/>
      <c r="I11" s="638"/>
      <c r="J11" s="638"/>
      <c r="K11" s="648"/>
      <c r="L11" s="638"/>
      <c r="M11" s="639"/>
      <c r="N11" s="640">
        <v>0</v>
      </c>
      <c r="O11" s="639"/>
      <c r="P11" s="641"/>
      <c r="Q11" s="642"/>
      <c r="R11" s="642"/>
      <c r="S11" s="642"/>
      <c r="T11" s="642"/>
      <c r="U11" s="512">
        <f t="shared" si="5"/>
        <v>0</v>
      </c>
      <c r="V11" s="638"/>
      <c r="W11" s="647"/>
      <c r="X11" s="638"/>
      <c r="Y11" s="638"/>
      <c r="Z11" s="514">
        <f t="shared" si="6"/>
        <v>0</v>
      </c>
      <c r="AA11" s="638"/>
      <c r="AB11" s="649"/>
      <c r="AC11" s="649"/>
      <c r="AD11" s="644">
        <f t="shared" si="7"/>
        <v>0</v>
      </c>
      <c r="AE11" s="645"/>
      <c r="AF11" s="650"/>
      <c r="AG11" s="644">
        <f t="shared" si="8"/>
        <v>0</v>
      </c>
      <c r="AH11" s="29"/>
      <c r="AI11" s="29"/>
      <c r="AJ11" s="29"/>
      <c r="AK11" s="29"/>
      <c r="AL11" s="29"/>
      <c r="AM11" s="29"/>
      <c r="AN11" s="29"/>
    </row>
    <row r="12" spans="1:40" ht="26.25" hidden="1" customHeight="1" x14ac:dyDescent="0.25">
      <c r="A12" s="363"/>
      <c r="B12" s="637"/>
      <c r="C12" s="92"/>
      <c r="D12" s="92"/>
      <c r="E12" s="92"/>
      <c r="F12" s="92"/>
      <c r="G12" s="638"/>
      <c r="H12" s="638"/>
      <c r="I12" s="638"/>
      <c r="J12" s="638"/>
      <c r="K12" s="648"/>
      <c r="L12" s="638"/>
      <c r="M12" s="639"/>
      <c r="N12" s="640">
        <v>0</v>
      </c>
      <c r="O12" s="639"/>
      <c r="P12" s="641"/>
      <c r="Q12" s="642"/>
      <c r="R12" s="642"/>
      <c r="S12" s="642"/>
      <c r="T12" s="642"/>
      <c r="U12" s="512">
        <f t="shared" si="5"/>
        <v>0</v>
      </c>
      <c r="V12" s="638"/>
      <c r="W12" s="647"/>
      <c r="X12" s="638"/>
      <c r="Y12" s="638"/>
      <c r="Z12" s="514">
        <f t="shared" si="6"/>
        <v>0</v>
      </c>
      <c r="AA12" s="638"/>
      <c r="AB12" s="649"/>
      <c r="AC12" s="649"/>
      <c r="AD12" s="644">
        <f t="shared" si="7"/>
        <v>0</v>
      </c>
      <c r="AE12" s="645"/>
      <c r="AF12" s="650"/>
      <c r="AG12" s="644">
        <f t="shared" si="8"/>
        <v>0</v>
      </c>
      <c r="AH12" s="29"/>
      <c r="AI12" s="29"/>
      <c r="AJ12" s="29"/>
      <c r="AK12" s="29"/>
      <c r="AL12" s="29"/>
      <c r="AM12" s="29"/>
      <c r="AN12" s="29"/>
    </row>
    <row r="13" spans="1:40" ht="26.25" hidden="1" customHeight="1" x14ac:dyDescent="0.25">
      <c r="A13" s="363"/>
      <c r="B13" s="637"/>
      <c r="C13" s="92"/>
      <c r="D13" s="92"/>
      <c r="E13" s="92"/>
      <c r="F13" s="92"/>
      <c r="G13" s="638"/>
      <c r="H13" s="638"/>
      <c r="I13" s="638"/>
      <c r="J13" s="638"/>
      <c r="K13" s="648"/>
      <c r="L13" s="638"/>
      <c r="M13" s="639"/>
      <c r="N13" s="640">
        <v>0</v>
      </c>
      <c r="O13" s="639"/>
      <c r="P13" s="641"/>
      <c r="Q13" s="642"/>
      <c r="R13" s="642"/>
      <c r="S13" s="642"/>
      <c r="T13" s="642"/>
      <c r="U13" s="512">
        <f t="shared" si="5"/>
        <v>0</v>
      </c>
      <c r="V13" s="638"/>
      <c r="W13" s="647"/>
      <c r="X13" s="638"/>
      <c r="Y13" s="638"/>
      <c r="Z13" s="514">
        <f t="shared" si="6"/>
        <v>0</v>
      </c>
      <c r="AA13" s="638"/>
      <c r="AB13" s="649"/>
      <c r="AC13" s="649"/>
      <c r="AD13" s="644">
        <f t="shared" si="7"/>
        <v>0</v>
      </c>
      <c r="AE13" s="645"/>
      <c r="AF13" s="650"/>
      <c r="AG13" s="644">
        <f t="shared" si="8"/>
        <v>0</v>
      </c>
      <c r="AH13" s="29"/>
      <c r="AI13" s="29"/>
      <c r="AJ13" s="29"/>
      <c r="AK13" s="29"/>
      <c r="AL13" s="29"/>
      <c r="AM13" s="29"/>
      <c r="AN13" s="29"/>
    </row>
    <row r="14" spans="1:40" ht="26.25" hidden="1" customHeight="1" x14ac:dyDescent="0.25">
      <c r="A14" s="363"/>
      <c r="B14" s="637"/>
      <c r="C14" s="92"/>
      <c r="D14" s="92"/>
      <c r="E14" s="92"/>
      <c r="F14" s="92"/>
      <c r="G14" s="638"/>
      <c r="H14" s="638"/>
      <c r="I14" s="638"/>
      <c r="J14" s="638"/>
      <c r="K14" s="648"/>
      <c r="L14" s="638"/>
      <c r="M14" s="639"/>
      <c r="N14" s="640">
        <v>0</v>
      </c>
      <c r="O14" s="639"/>
      <c r="P14" s="641"/>
      <c r="Q14" s="642"/>
      <c r="R14" s="642"/>
      <c r="S14" s="642"/>
      <c r="T14" s="642"/>
      <c r="U14" s="512">
        <f t="shared" si="5"/>
        <v>0</v>
      </c>
      <c r="V14" s="638"/>
      <c r="W14" s="647"/>
      <c r="X14" s="638"/>
      <c r="Y14" s="638"/>
      <c r="Z14" s="514">
        <f t="shared" si="6"/>
        <v>0</v>
      </c>
      <c r="AA14" s="638"/>
      <c r="AB14" s="649"/>
      <c r="AC14" s="649"/>
      <c r="AD14" s="644">
        <f t="shared" si="7"/>
        <v>0</v>
      </c>
      <c r="AE14" s="645"/>
      <c r="AF14" s="650"/>
      <c r="AG14" s="644">
        <f t="shared" si="8"/>
        <v>0</v>
      </c>
      <c r="AH14" s="29"/>
      <c r="AI14" s="29"/>
      <c r="AJ14" s="29"/>
      <c r="AK14" s="29"/>
      <c r="AL14" s="29"/>
      <c r="AM14" s="29"/>
      <c r="AN14" s="29"/>
    </row>
    <row r="15" spans="1:40" ht="26.25" hidden="1" customHeight="1" x14ac:dyDescent="0.25">
      <c r="A15" s="363"/>
      <c r="B15" s="637"/>
      <c r="C15" s="92"/>
      <c r="D15" s="92"/>
      <c r="E15" s="92"/>
      <c r="F15" s="92"/>
      <c r="G15" s="638"/>
      <c r="H15" s="638"/>
      <c r="I15" s="638"/>
      <c r="J15" s="638"/>
      <c r="K15" s="648"/>
      <c r="L15" s="638"/>
      <c r="M15" s="639"/>
      <c r="N15" s="640">
        <v>0</v>
      </c>
      <c r="O15" s="639"/>
      <c r="P15" s="641"/>
      <c r="Q15" s="642"/>
      <c r="R15" s="642"/>
      <c r="S15" s="642"/>
      <c r="T15" s="642"/>
      <c r="U15" s="512">
        <f t="shared" si="5"/>
        <v>0</v>
      </c>
      <c r="V15" s="638"/>
      <c r="W15" s="647"/>
      <c r="X15" s="638"/>
      <c r="Y15" s="638"/>
      <c r="Z15" s="514">
        <f t="shared" si="6"/>
        <v>0</v>
      </c>
      <c r="AA15" s="638"/>
      <c r="AB15" s="649"/>
      <c r="AC15" s="649"/>
      <c r="AD15" s="644">
        <f t="shared" si="7"/>
        <v>0</v>
      </c>
      <c r="AE15" s="645"/>
      <c r="AF15" s="650"/>
      <c r="AG15" s="644">
        <f t="shared" si="8"/>
        <v>0</v>
      </c>
      <c r="AH15" s="29"/>
      <c r="AI15" s="29"/>
      <c r="AJ15" s="29"/>
      <c r="AK15" s="29"/>
      <c r="AL15" s="29"/>
      <c r="AM15" s="29"/>
      <c r="AN15" s="29"/>
    </row>
    <row r="16" spans="1:40" ht="26.25" hidden="1" customHeight="1" thickBot="1" x14ac:dyDescent="0.3">
      <c r="A16" s="363"/>
      <c r="B16" s="637"/>
      <c r="C16" s="92"/>
      <c r="D16" s="92"/>
      <c r="E16" s="92"/>
      <c r="F16" s="92"/>
      <c r="G16" s="638"/>
      <c r="H16" s="638"/>
      <c r="I16" s="638"/>
      <c r="J16" s="638"/>
      <c r="K16" s="648"/>
      <c r="L16" s="638"/>
      <c r="M16" s="639"/>
      <c r="N16" s="640">
        <v>0</v>
      </c>
      <c r="O16" s="639"/>
      <c r="P16" s="641"/>
      <c r="Q16" s="642"/>
      <c r="R16" s="642"/>
      <c r="S16" s="642"/>
      <c r="T16" s="642"/>
      <c r="U16" s="512">
        <f t="shared" si="5"/>
        <v>0</v>
      </c>
      <c r="V16" s="638"/>
      <c r="W16" s="647"/>
      <c r="X16" s="638"/>
      <c r="Y16" s="638"/>
      <c r="Z16" s="514">
        <f t="shared" si="6"/>
        <v>0</v>
      </c>
      <c r="AA16" s="638"/>
      <c r="AB16" s="649"/>
      <c r="AC16" s="649"/>
      <c r="AD16" s="644">
        <f t="shared" si="7"/>
        <v>0</v>
      </c>
      <c r="AE16" s="645"/>
      <c r="AF16" s="650"/>
      <c r="AG16" s="644">
        <f t="shared" si="8"/>
        <v>0</v>
      </c>
      <c r="AH16" s="29"/>
      <c r="AI16" s="29"/>
      <c r="AJ16" s="29"/>
      <c r="AK16" s="29"/>
      <c r="AL16" s="29"/>
      <c r="AM16" s="29"/>
      <c r="AN16" s="29"/>
    </row>
    <row r="17" spans="1:40" ht="26.25" customHeight="1" x14ac:dyDescent="0.25">
      <c r="A17" s="363" t="s">
        <v>485</v>
      </c>
      <c r="B17" s="637" t="s">
        <v>486</v>
      </c>
      <c r="C17" s="92">
        <v>972</v>
      </c>
      <c r="D17" s="92">
        <v>800.9</v>
      </c>
      <c r="E17" s="92">
        <v>110</v>
      </c>
      <c r="F17" s="92">
        <f>45.2+3+12.9</f>
        <v>61.1</v>
      </c>
      <c r="G17" s="638"/>
      <c r="H17" s="638"/>
      <c r="I17" s="638"/>
      <c r="J17" s="638"/>
      <c r="K17" s="596" t="s">
        <v>487</v>
      </c>
      <c r="L17" s="638"/>
      <c r="M17" s="639">
        <f>851-100.2-17.4</f>
        <v>733.4</v>
      </c>
      <c r="N17" s="640"/>
      <c r="O17" s="639">
        <f>40+85</f>
        <v>125</v>
      </c>
      <c r="P17" s="641"/>
      <c r="Q17" s="642"/>
      <c r="R17" s="642"/>
      <c r="S17" s="642"/>
      <c r="T17" s="642"/>
      <c r="U17" s="512">
        <f>SUM(Q17:T17)</f>
        <v>0</v>
      </c>
      <c r="V17" s="638"/>
      <c r="W17" s="647"/>
      <c r="X17" s="638"/>
      <c r="Y17" s="638"/>
      <c r="Z17" s="514">
        <f t="shared" si="6"/>
        <v>858.4</v>
      </c>
      <c r="AA17" s="638"/>
      <c r="AB17" s="649">
        <f>43.8+100.2+17.4</f>
        <v>161.4</v>
      </c>
      <c r="AC17" s="597" t="s">
        <v>488</v>
      </c>
      <c r="AD17" s="644">
        <f t="shared" si="7"/>
        <v>1019.8</v>
      </c>
      <c r="AE17" s="645"/>
      <c r="AF17" s="650"/>
      <c r="AG17" s="644">
        <f t="shared" si="8"/>
        <v>1019.8</v>
      </c>
      <c r="AH17" s="29"/>
      <c r="AI17" s="29"/>
      <c r="AJ17" s="29"/>
      <c r="AK17" s="29"/>
      <c r="AL17" s="29"/>
      <c r="AM17" s="29"/>
      <c r="AN17" s="29"/>
    </row>
    <row r="18" spans="1:40" ht="26.25" customHeight="1" x14ac:dyDescent="0.25">
      <c r="A18" s="363" t="s">
        <v>489</v>
      </c>
      <c r="B18" s="637" t="s">
        <v>490</v>
      </c>
      <c r="C18" s="92">
        <v>200</v>
      </c>
      <c r="D18" s="92"/>
      <c r="E18" s="92"/>
      <c r="F18" s="92">
        <v>200</v>
      </c>
      <c r="G18" s="638"/>
      <c r="H18" s="638"/>
      <c r="I18" s="638"/>
      <c r="J18" s="638"/>
      <c r="K18" s="77" t="s">
        <v>491</v>
      </c>
      <c r="L18" s="638"/>
      <c r="M18" s="642">
        <v>450</v>
      </c>
      <c r="N18" s="640">
        <f t="shared" ref="N18:N73" si="9">M18-D18</f>
        <v>450</v>
      </c>
      <c r="O18" s="639"/>
      <c r="P18" s="641"/>
      <c r="Q18" s="642"/>
      <c r="R18" s="642"/>
      <c r="S18" s="642"/>
      <c r="T18" s="642"/>
      <c r="U18" s="512">
        <f t="shared" si="5"/>
        <v>0</v>
      </c>
      <c r="V18" s="638"/>
      <c r="W18" s="651"/>
      <c r="X18" s="638"/>
      <c r="Y18" s="638"/>
      <c r="Z18" s="514">
        <f t="shared" si="6"/>
        <v>450</v>
      </c>
      <c r="AA18" s="638"/>
      <c r="AB18" s="649"/>
      <c r="AC18" s="652"/>
      <c r="AD18" s="644">
        <f t="shared" si="7"/>
        <v>450</v>
      </c>
      <c r="AE18" s="645"/>
      <c r="AF18" s="650"/>
      <c r="AG18" s="644">
        <f>AD18+AE18</f>
        <v>450</v>
      </c>
      <c r="AH18" s="29"/>
      <c r="AI18" s="29"/>
      <c r="AJ18" s="29"/>
      <c r="AK18" s="29"/>
      <c r="AL18" s="29"/>
      <c r="AM18" s="29"/>
      <c r="AN18" s="29"/>
    </row>
    <row r="19" spans="1:40" ht="26.25" customHeight="1" x14ac:dyDescent="0.25">
      <c r="A19" s="363" t="s">
        <v>492</v>
      </c>
      <c r="B19" s="637" t="s">
        <v>493</v>
      </c>
      <c r="C19" s="92">
        <v>613.20000000000005</v>
      </c>
      <c r="D19" s="92">
        <v>574.70000000000005</v>
      </c>
      <c r="E19" s="92">
        <v>8.1</v>
      </c>
      <c r="F19" s="92">
        <f>28.4+2</f>
        <v>30.4</v>
      </c>
      <c r="G19" s="638"/>
      <c r="H19" s="638"/>
      <c r="I19" s="638"/>
      <c r="J19" s="638"/>
      <c r="K19" s="596" t="s">
        <v>494</v>
      </c>
      <c r="L19" s="638"/>
      <c r="M19" s="639">
        <f>584.4+28.7-82.8-17</f>
        <v>513.30000000000007</v>
      </c>
      <c r="N19" s="640"/>
      <c r="O19" s="639">
        <v>8.1</v>
      </c>
      <c r="P19" s="641"/>
      <c r="Q19" s="642"/>
      <c r="R19" s="642"/>
      <c r="S19" s="642"/>
      <c r="T19" s="642"/>
      <c r="U19" s="512">
        <f>SUM(Q19:T19)</f>
        <v>0</v>
      </c>
      <c r="V19" s="638"/>
      <c r="W19" s="653"/>
      <c r="X19" s="638"/>
      <c r="Y19" s="638"/>
      <c r="Z19" s="514">
        <f>M19+O19+U19+V19+W19+X19</f>
        <v>521.40000000000009</v>
      </c>
      <c r="AA19" s="638"/>
      <c r="AB19" s="649">
        <f>82.8+17</f>
        <v>99.8</v>
      </c>
      <c r="AC19" s="597" t="s">
        <v>495</v>
      </c>
      <c r="AD19" s="644">
        <f t="shared" si="7"/>
        <v>621.20000000000005</v>
      </c>
      <c r="AE19" s="645"/>
      <c r="AF19" s="650"/>
      <c r="AG19" s="644">
        <f>AD19+AE19</f>
        <v>621.20000000000005</v>
      </c>
      <c r="AH19" s="29"/>
      <c r="AI19" s="29"/>
      <c r="AJ19" s="29"/>
      <c r="AK19" s="29"/>
      <c r="AL19" s="29"/>
      <c r="AM19" s="29"/>
      <c r="AN19" s="29"/>
    </row>
    <row r="20" spans="1:40" ht="26.25" hidden="1" customHeight="1" x14ac:dyDescent="0.25">
      <c r="A20" s="363" t="s">
        <v>496</v>
      </c>
      <c r="B20" s="637" t="s">
        <v>497</v>
      </c>
      <c r="C20" s="92">
        <v>0</v>
      </c>
      <c r="D20" s="92"/>
      <c r="E20" s="92"/>
      <c r="F20" s="92"/>
      <c r="G20" s="638"/>
      <c r="H20" s="638"/>
      <c r="I20" s="638"/>
      <c r="J20" s="638"/>
      <c r="K20" s="648"/>
      <c r="L20" s="638"/>
      <c r="M20" s="642"/>
      <c r="N20" s="640">
        <f t="shared" si="9"/>
        <v>0</v>
      </c>
      <c r="O20" s="639"/>
      <c r="P20" s="641"/>
      <c r="Q20" s="642"/>
      <c r="R20" s="642"/>
      <c r="S20" s="642"/>
      <c r="T20" s="642"/>
      <c r="U20" s="512">
        <f t="shared" si="5"/>
        <v>0</v>
      </c>
      <c r="V20" s="638"/>
      <c r="W20" s="651"/>
      <c r="X20" s="638"/>
      <c r="Y20" s="638"/>
      <c r="Z20" s="514">
        <f t="shared" si="6"/>
        <v>0</v>
      </c>
      <c r="AA20" s="638"/>
      <c r="AB20" s="649"/>
      <c r="AC20" s="649"/>
      <c r="AD20" s="644">
        <f t="shared" si="7"/>
        <v>0</v>
      </c>
      <c r="AE20" s="645"/>
      <c r="AF20" s="650"/>
      <c r="AG20" s="644">
        <f t="shared" si="8"/>
        <v>0</v>
      </c>
      <c r="AH20" s="29"/>
      <c r="AI20" s="29"/>
      <c r="AJ20" s="29"/>
      <c r="AK20" s="29"/>
      <c r="AL20" s="29"/>
      <c r="AM20" s="29"/>
      <c r="AN20" s="29"/>
    </row>
    <row r="21" spans="1:40" ht="26.25" hidden="1" customHeight="1" x14ac:dyDescent="0.25">
      <c r="A21" s="363" t="s">
        <v>498</v>
      </c>
      <c r="B21" s="637" t="s">
        <v>499</v>
      </c>
      <c r="C21" s="92">
        <v>0</v>
      </c>
      <c r="D21" s="92">
        <v>0</v>
      </c>
      <c r="E21" s="92"/>
      <c r="F21" s="92"/>
      <c r="G21" s="638"/>
      <c r="H21" s="638"/>
      <c r="I21" s="638"/>
      <c r="J21" s="638"/>
      <c r="K21" s="648"/>
      <c r="L21" s="638"/>
      <c r="M21" s="642"/>
      <c r="N21" s="640">
        <f t="shared" si="9"/>
        <v>0</v>
      </c>
      <c r="O21" s="639"/>
      <c r="P21" s="641"/>
      <c r="Q21" s="642"/>
      <c r="R21" s="642"/>
      <c r="S21" s="642"/>
      <c r="T21" s="642"/>
      <c r="U21" s="512">
        <f t="shared" si="5"/>
        <v>0</v>
      </c>
      <c r="V21" s="638"/>
      <c r="W21" s="651"/>
      <c r="X21" s="638"/>
      <c r="Y21" s="638"/>
      <c r="Z21" s="514">
        <f t="shared" si="6"/>
        <v>0</v>
      </c>
      <c r="AA21" s="638"/>
      <c r="AB21" s="649"/>
      <c r="AC21" s="649"/>
      <c r="AD21" s="644">
        <f t="shared" si="7"/>
        <v>0</v>
      </c>
      <c r="AE21" s="645"/>
      <c r="AF21" s="650"/>
      <c r="AG21" s="644">
        <f t="shared" si="8"/>
        <v>0</v>
      </c>
      <c r="AH21" s="29"/>
      <c r="AI21" s="29"/>
      <c r="AJ21" s="29"/>
      <c r="AK21" s="29"/>
      <c r="AL21" s="29"/>
      <c r="AM21" s="29"/>
      <c r="AN21" s="29"/>
    </row>
    <row r="22" spans="1:40" ht="26.25" customHeight="1" x14ac:dyDescent="0.25">
      <c r="A22" s="363" t="s">
        <v>500</v>
      </c>
      <c r="B22" s="637" t="s">
        <v>501</v>
      </c>
      <c r="C22" s="92">
        <v>102.7</v>
      </c>
      <c r="D22" s="92">
        <v>2.7</v>
      </c>
      <c r="E22" s="92"/>
      <c r="F22" s="92">
        <v>100</v>
      </c>
      <c r="G22" s="638"/>
      <c r="H22" s="638"/>
      <c r="I22" s="638"/>
      <c r="J22" s="638"/>
      <c r="K22" s="596" t="s">
        <v>502</v>
      </c>
      <c r="L22" s="638"/>
      <c r="M22" s="639">
        <f>18.8+130</f>
        <v>148.80000000000001</v>
      </c>
      <c r="N22" s="640">
        <f t="shared" si="9"/>
        <v>146.10000000000002</v>
      </c>
      <c r="O22" s="639"/>
      <c r="P22" s="641"/>
      <c r="Q22" s="642"/>
      <c r="R22" s="642"/>
      <c r="S22" s="642"/>
      <c r="T22" s="642"/>
      <c r="U22" s="512">
        <f t="shared" si="5"/>
        <v>0</v>
      </c>
      <c r="V22" s="638"/>
      <c r="W22" s="651"/>
      <c r="X22" s="638"/>
      <c r="Y22" s="638"/>
      <c r="Z22" s="514">
        <f t="shared" si="6"/>
        <v>148.80000000000001</v>
      </c>
      <c r="AA22" s="638"/>
      <c r="AB22" s="649">
        <f>309.6-130</f>
        <v>179.60000000000002</v>
      </c>
      <c r="AC22" s="597" t="s">
        <v>503</v>
      </c>
      <c r="AD22" s="644">
        <f t="shared" si="7"/>
        <v>328.40000000000003</v>
      </c>
      <c r="AE22" s="654">
        <v>51.3</v>
      </c>
      <c r="AF22" s="646" t="s">
        <v>504</v>
      </c>
      <c r="AG22" s="644">
        <f t="shared" si="8"/>
        <v>379.70000000000005</v>
      </c>
      <c r="AH22" s="29"/>
      <c r="AI22" s="29"/>
      <c r="AJ22" s="29"/>
      <c r="AK22" s="29"/>
      <c r="AL22" s="29"/>
      <c r="AM22" s="29"/>
      <c r="AN22" s="29"/>
    </row>
    <row r="23" spans="1:40" ht="26.25" hidden="1" customHeight="1" x14ac:dyDescent="0.25">
      <c r="A23" s="363" t="s">
        <v>505</v>
      </c>
      <c r="B23" s="637" t="s">
        <v>506</v>
      </c>
      <c r="C23" s="92">
        <v>0</v>
      </c>
      <c r="D23" s="92"/>
      <c r="E23" s="92"/>
      <c r="F23" s="92"/>
      <c r="G23" s="638"/>
      <c r="H23" s="638"/>
      <c r="I23" s="638"/>
      <c r="J23" s="638"/>
      <c r="K23" s="648"/>
      <c r="L23" s="638"/>
      <c r="M23" s="642">
        <v>0</v>
      </c>
      <c r="N23" s="640">
        <f t="shared" si="9"/>
        <v>0</v>
      </c>
      <c r="O23" s="639"/>
      <c r="P23" s="641"/>
      <c r="Q23" s="642"/>
      <c r="R23" s="642"/>
      <c r="S23" s="642"/>
      <c r="T23" s="642"/>
      <c r="U23" s="512">
        <f t="shared" si="5"/>
        <v>0</v>
      </c>
      <c r="V23" s="638"/>
      <c r="W23" s="651"/>
      <c r="X23" s="638"/>
      <c r="Y23" s="638"/>
      <c r="Z23" s="514">
        <f t="shared" si="6"/>
        <v>0</v>
      </c>
      <c r="AA23" s="638"/>
      <c r="AB23" s="655">
        <v>30</v>
      </c>
      <c r="AC23" s="597" t="s">
        <v>507</v>
      </c>
      <c r="AD23" s="644">
        <f t="shared" si="7"/>
        <v>30</v>
      </c>
      <c r="AE23" s="645"/>
      <c r="AF23" s="650"/>
      <c r="AG23" s="644">
        <f t="shared" si="8"/>
        <v>30</v>
      </c>
      <c r="AH23" s="29"/>
      <c r="AI23" s="29"/>
      <c r="AJ23" s="29"/>
      <c r="AK23" s="29"/>
      <c r="AL23" s="29"/>
      <c r="AM23" s="29"/>
      <c r="AN23" s="29"/>
    </row>
    <row r="24" spans="1:40" ht="26.25" customHeight="1" x14ac:dyDescent="0.25">
      <c r="A24" s="363" t="s">
        <v>508</v>
      </c>
      <c r="B24" s="637" t="s">
        <v>509</v>
      </c>
      <c r="C24" s="92">
        <v>0</v>
      </c>
      <c r="D24" s="92"/>
      <c r="E24" s="92"/>
      <c r="F24" s="92"/>
      <c r="G24" s="638"/>
      <c r="H24" s="638"/>
      <c r="I24" s="638"/>
      <c r="J24" s="638"/>
      <c r="K24" s="77" t="s">
        <v>510</v>
      </c>
      <c r="L24" s="638"/>
      <c r="M24" s="639">
        <v>116</v>
      </c>
      <c r="N24" s="640">
        <f t="shared" si="9"/>
        <v>116</v>
      </c>
      <c r="O24" s="639"/>
      <c r="P24" s="641"/>
      <c r="Q24" s="642"/>
      <c r="R24" s="642"/>
      <c r="S24" s="642"/>
      <c r="T24" s="642"/>
      <c r="U24" s="512">
        <f t="shared" si="5"/>
        <v>0</v>
      </c>
      <c r="V24" s="638"/>
      <c r="W24" s="651"/>
      <c r="X24" s="638"/>
      <c r="Y24" s="638"/>
      <c r="Z24" s="514">
        <f t="shared" si="6"/>
        <v>116</v>
      </c>
      <c r="AA24" s="638"/>
      <c r="AB24" s="655"/>
      <c r="AC24" s="597"/>
      <c r="AD24" s="644">
        <f t="shared" si="7"/>
        <v>116</v>
      </c>
      <c r="AE24" s="645"/>
      <c r="AF24" s="650"/>
      <c r="AG24" s="644">
        <f t="shared" si="8"/>
        <v>116</v>
      </c>
      <c r="AH24" s="29"/>
      <c r="AI24" s="29"/>
      <c r="AJ24" s="29"/>
      <c r="AK24" s="29"/>
      <c r="AL24" s="29"/>
      <c r="AM24" s="29"/>
      <c r="AN24" s="29"/>
    </row>
    <row r="25" spans="1:40" ht="26.25" customHeight="1" x14ac:dyDescent="0.25">
      <c r="A25" s="363" t="s">
        <v>511</v>
      </c>
      <c r="B25" s="637" t="s">
        <v>512</v>
      </c>
      <c r="C25" s="92"/>
      <c r="D25" s="92"/>
      <c r="E25" s="92"/>
      <c r="F25" s="92"/>
      <c r="G25" s="638"/>
      <c r="H25" s="638"/>
      <c r="I25" s="638"/>
      <c r="J25" s="638"/>
      <c r="K25" s="77" t="s">
        <v>513</v>
      </c>
      <c r="L25" s="638"/>
      <c r="M25" s="639">
        <v>113</v>
      </c>
      <c r="N25" s="640">
        <f t="shared" si="9"/>
        <v>113</v>
      </c>
      <c r="O25" s="639"/>
      <c r="P25" s="641"/>
      <c r="Q25" s="642"/>
      <c r="R25" s="642"/>
      <c r="S25" s="642"/>
      <c r="T25" s="642"/>
      <c r="U25" s="512">
        <f t="shared" si="5"/>
        <v>0</v>
      </c>
      <c r="V25" s="638"/>
      <c r="W25" s="651"/>
      <c r="X25" s="638"/>
      <c r="Y25" s="638"/>
      <c r="Z25" s="514">
        <f t="shared" si="6"/>
        <v>113</v>
      </c>
      <c r="AA25" s="638"/>
      <c r="AB25" s="655"/>
      <c r="AC25" s="597"/>
      <c r="AD25" s="644">
        <f t="shared" si="7"/>
        <v>113</v>
      </c>
      <c r="AE25" s="645"/>
      <c r="AF25" s="650"/>
      <c r="AG25" s="644">
        <f t="shared" si="8"/>
        <v>113</v>
      </c>
      <c r="AH25" s="29"/>
      <c r="AI25" s="29"/>
      <c r="AJ25" s="29"/>
      <c r="AK25" s="29"/>
      <c r="AL25" s="29"/>
      <c r="AM25" s="29"/>
      <c r="AN25" s="29"/>
    </row>
    <row r="26" spans="1:40" s="9" customFormat="1" ht="26.25" customHeight="1" x14ac:dyDescent="0.25">
      <c r="A26" s="495" t="s">
        <v>514</v>
      </c>
      <c r="B26" s="656" t="s">
        <v>515</v>
      </c>
      <c r="C26" s="657">
        <f>C27+C28</f>
        <v>0</v>
      </c>
      <c r="D26" s="657">
        <f t="shared" ref="D26:AE26" si="10">D27+D28</f>
        <v>0</v>
      </c>
      <c r="E26" s="657">
        <f t="shared" si="10"/>
        <v>0</v>
      </c>
      <c r="F26" s="657">
        <f t="shared" si="10"/>
        <v>0</v>
      </c>
      <c r="G26" s="657">
        <f t="shared" si="10"/>
        <v>0</v>
      </c>
      <c r="H26" s="657">
        <f t="shared" si="10"/>
        <v>0</v>
      </c>
      <c r="I26" s="657">
        <f t="shared" si="10"/>
        <v>0</v>
      </c>
      <c r="J26" s="657">
        <f t="shared" si="10"/>
        <v>0</v>
      </c>
      <c r="K26" s="657"/>
      <c r="L26" s="657">
        <f t="shared" si="10"/>
        <v>0</v>
      </c>
      <c r="M26" s="658">
        <f>M27+M28</f>
        <v>45</v>
      </c>
      <c r="N26" s="640">
        <f t="shared" si="9"/>
        <v>45</v>
      </c>
      <c r="O26" s="658">
        <f t="shared" si="10"/>
        <v>0</v>
      </c>
      <c r="P26" s="658">
        <f t="shared" si="10"/>
        <v>0</v>
      </c>
      <c r="Q26" s="658">
        <f t="shared" si="10"/>
        <v>0</v>
      </c>
      <c r="R26" s="658">
        <f t="shared" si="10"/>
        <v>0</v>
      </c>
      <c r="S26" s="658">
        <f t="shared" si="10"/>
        <v>0</v>
      </c>
      <c r="T26" s="658">
        <f t="shared" si="10"/>
        <v>0</v>
      </c>
      <c r="U26" s="512">
        <f t="shared" si="5"/>
        <v>0</v>
      </c>
      <c r="V26" s="657">
        <f t="shared" si="10"/>
        <v>0</v>
      </c>
      <c r="W26" s="657">
        <f t="shared" si="10"/>
        <v>0</v>
      </c>
      <c r="X26" s="657">
        <f t="shared" si="10"/>
        <v>0</v>
      </c>
      <c r="Y26" s="657">
        <f t="shared" si="10"/>
        <v>0</v>
      </c>
      <c r="Z26" s="635">
        <f>M26+O26+U26+V26+W26+X26</f>
        <v>45</v>
      </c>
      <c r="AA26" s="657">
        <f t="shared" si="10"/>
        <v>0</v>
      </c>
      <c r="AB26" s="659">
        <f>+AB27+AB28</f>
        <v>318</v>
      </c>
      <c r="AC26" s="659"/>
      <c r="AD26" s="644">
        <f>Z26+AB26</f>
        <v>363</v>
      </c>
      <c r="AE26" s="645">
        <f t="shared" si="10"/>
        <v>9.1</v>
      </c>
      <c r="AF26" s="645"/>
      <c r="AG26" s="644">
        <f t="shared" si="8"/>
        <v>372.1</v>
      </c>
      <c r="AH26" s="80"/>
      <c r="AI26" s="80"/>
      <c r="AJ26" s="80"/>
      <c r="AK26" s="80"/>
      <c r="AL26" s="80"/>
      <c r="AM26" s="80"/>
      <c r="AN26" s="80"/>
    </row>
    <row r="27" spans="1:40" ht="26.25" customHeight="1" x14ac:dyDescent="0.25">
      <c r="A27" s="363" t="s">
        <v>516</v>
      </c>
      <c r="B27" s="637" t="s">
        <v>517</v>
      </c>
      <c r="C27" s="92">
        <v>0</v>
      </c>
      <c r="D27" s="92"/>
      <c r="E27" s="92"/>
      <c r="F27" s="92"/>
      <c r="G27" s="638"/>
      <c r="H27" s="638"/>
      <c r="I27" s="638"/>
      <c r="J27" s="638"/>
      <c r="K27" s="596" t="s">
        <v>518</v>
      </c>
      <c r="L27" s="638"/>
      <c r="M27" s="639">
        <v>45</v>
      </c>
      <c r="N27" s="640">
        <f t="shared" si="9"/>
        <v>45</v>
      </c>
      <c r="O27" s="639"/>
      <c r="P27" s="641"/>
      <c r="Q27" s="642"/>
      <c r="R27" s="642"/>
      <c r="S27" s="642"/>
      <c r="T27" s="642"/>
      <c r="U27" s="512">
        <f t="shared" si="5"/>
        <v>0</v>
      </c>
      <c r="V27" s="638"/>
      <c r="W27" s="651"/>
      <c r="X27" s="638"/>
      <c r="Y27" s="638"/>
      <c r="Z27" s="514">
        <f t="shared" si="6"/>
        <v>45</v>
      </c>
      <c r="AA27" s="638"/>
      <c r="AB27" s="649">
        <f>47.8-45</f>
        <v>2.7999999999999972</v>
      </c>
      <c r="AC27" s="597" t="s">
        <v>519</v>
      </c>
      <c r="AD27" s="644">
        <f t="shared" si="7"/>
        <v>47.8</v>
      </c>
      <c r="AE27" s="645">
        <v>9.1</v>
      </c>
      <c r="AF27" s="646" t="s">
        <v>520</v>
      </c>
      <c r="AG27" s="644">
        <f t="shared" si="8"/>
        <v>56.9</v>
      </c>
      <c r="AH27" s="29"/>
      <c r="AI27" s="29"/>
      <c r="AJ27" s="29"/>
      <c r="AK27" s="29"/>
      <c r="AL27" s="29"/>
      <c r="AM27" s="29"/>
      <c r="AN27" s="29"/>
    </row>
    <row r="28" spans="1:40" ht="26.25" hidden="1" customHeight="1" x14ac:dyDescent="0.25">
      <c r="A28" s="363" t="s">
        <v>521</v>
      </c>
      <c r="B28" s="637" t="s">
        <v>522</v>
      </c>
      <c r="C28" s="92">
        <v>0</v>
      </c>
      <c r="D28" s="92"/>
      <c r="E28" s="92"/>
      <c r="F28" s="92"/>
      <c r="G28" s="638"/>
      <c r="H28" s="638"/>
      <c r="I28" s="638"/>
      <c r="J28" s="638"/>
      <c r="K28" s="648"/>
      <c r="L28" s="638"/>
      <c r="M28" s="642">
        <v>0</v>
      </c>
      <c r="N28" s="640">
        <f t="shared" si="9"/>
        <v>0</v>
      </c>
      <c r="O28" s="639"/>
      <c r="P28" s="641"/>
      <c r="Q28" s="642"/>
      <c r="R28" s="642"/>
      <c r="S28" s="642"/>
      <c r="T28" s="642"/>
      <c r="U28" s="512">
        <f t="shared" si="5"/>
        <v>0</v>
      </c>
      <c r="V28" s="638"/>
      <c r="W28" s="651"/>
      <c r="X28" s="638"/>
      <c r="Y28" s="638"/>
      <c r="Z28" s="514">
        <f t="shared" si="6"/>
        <v>0</v>
      </c>
      <c r="AA28" s="638"/>
      <c r="AB28" s="649">
        <v>315.2</v>
      </c>
      <c r="AC28" s="597" t="s">
        <v>523</v>
      </c>
      <c r="AD28" s="644">
        <f t="shared" si="7"/>
        <v>315.2</v>
      </c>
      <c r="AE28" s="645"/>
      <c r="AF28" s="650"/>
      <c r="AG28" s="644">
        <f t="shared" si="8"/>
        <v>315.2</v>
      </c>
      <c r="AH28" s="29"/>
      <c r="AI28" s="29"/>
      <c r="AJ28" s="29"/>
      <c r="AK28" s="29"/>
      <c r="AL28" s="29"/>
      <c r="AM28" s="29"/>
      <c r="AN28" s="29"/>
    </row>
    <row r="29" spans="1:40" s="9" customFormat="1" ht="26.25" customHeight="1" x14ac:dyDescent="0.25">
      <c r="A29" s="495" t="s">
        <v>524</v>
      </c>
      <c r="B29" s="656" t="s">
        <v>525</v>
      </c>
      <c r="C29" s="657">
        <f>C30+C31+C32+C33+C34+C35</f>
        <v>3320.5</v>
      </c>
      <c r="D29" s="657">
        <f t="shared" ref="D29:AG29" si="11">D30+D31+D32+D33+D34+D35</f>
        <v>2637.2</v>
      </c>
      <c r="E29" s="657">
        <f t="shared" si="11"/>
        <v>10</v>
      </c>
      <c r="F29" s="657">
        <f t="shared" si="11"/>
        <v>673.3</v>
      </c>
      <c r="G29" s="657">
        <f t="shared" si="11"/>
        <v>0</v>
      </c>
      <c r="H29" s="657">
        <f t="shared" si="11"/>
        <v>0</v>
      </c>
      <c r="I29" s="657">
        <f t="shared" si="11"/>
        <v>0</v>
      </c>
      <c r="J29" s="657">
        <f t="shared" si="11"/>
        <v>0</v>
      </c>
      <c r="K29" s="657"/>
      <c r="L29" s="657">
        <f t="shared" si="11"/>
        <v>0</v>
      </c>
      <c r="M29" s="657">
        <f>M30+M31+M32+M33+M34+M35+M36</f>
        <v>3171.2</v>
      </c>
      <c r="N29" s="660">
        <f t="shared" ref="N29:Y29" si="12">N30+N31+N32+N33+N34+N35+N36</f>
        <v>271</v>
      </c>
      <c r="O29" s="657">
        <f t="shared" si="12"/>
        <v>12</v>
      </c>
      <c r="P29" s="657">
        <f t="shared" si="12"/>
        <v>0</v>
      </c>
      <c r="Q29" s="657">
        <f t="shared" si="12"/>
        <v>0</v>
      </c>
      <c r="R29" s="657">
        <f t="shared" si="12"/>
        <v>0</v>
      </c>
      <c r="S29" s="657">
        <f t="shared" si="12"/>
        <v>0</v>
      </c>
      <c r="T29" s="657">
        <f t="shared" si="12"/>
        <v>0</v>
      </c>
      <c r="U29" s="657">
        <f t="shared" si="12"/>
        <v>0</v>
      </c>
      <c r="V29" s="657">
        <f t="shared" si="12"/>
        <v>0</v>
      </c>
      <c r="W29" s="657">
        <f t="shared" si="12"/>
        <v>0</v>
      </c>
      <c r="X29" s="657">
        <f t="shared" si="12"/>
        <v>0</v>
      </c>
      <c r="Y29" s="657">
        <f t="shared" si="12"/>
        <v>0</v>
      </c>
      <c r="Z29" s="661">
        <f>Z30+Z31+Z32+Z33+Z34+Z35+Z36</f>
        <v>3183.2</v>
      </c>
      <c r="AA29" s="657">
        <f t="shared" si="11"/>
        <v>0</v>
      </c>
      <c r="AB29" s="662">
        <f>AB30+AB31+AB32+AB33+AB34+AB35</f>
        <v>1283.2</v>
      </c>
      <c r="AC29" s="662"/>
      <c r="AD29" s="657">
        <f t="shared" si="11"/>
        <v>4338.3999999999996</v>
      </c>
      <c r="AE29" s="657">
        <f t="shared" si="11"/>
        <v>1055</v>
      </c>
      <c r="AF29" s="657" t="e">
        <f t="shared" si="11"/>
        <v>#VALUE!</v>
      </c>
      <c r="AG29" s="657">
        <f t="shared" si="11"/>
        <v>5393.4</v>
      </c>
      <c r="AH29" s="80"/>
      <c r="AI29" s="80"/>
      <c r="AJ29" s="80"/>
      <c r="AK29" s="80"/>
      <c r="AL29" s="80"/>
      <c r="AM29" s="80"/>
      <c r="AN29" s="80"/>
    </row>
    <row r="30" spans="1:40" ht="26.25" customHeight="1" x14ac:dyDescent="0.25">
      <c r="A30" s="363" t="s">
        <v>526</v>
      </c>
      <c r="B30" s="637" t="s">
        <v>527</v>
      </c>
      <c r="C30" s="92">
        <v>89</v>
      </c>
      <c r="D30" s="92">
        <v>89</v>
      </c>
      <c r="E30" s="92"/>
      <c r="F30" s="92"/>
      <c r="G30" s="638"/>
      <c r="H30" s="638"/>
      <c r="I30" s="638"/>
      <c r="J30" s="638"/>
      <c r="K30" s="596" t="s">
        <v>528</v>
      </c>
      <c r="L30" s="638"/>
      <c r="M30" s="642">
        <v>79</v>
      </c>
      <c r="N30" s="640">
        <f t="shared" si="9"/>
        <v>-10</v>
      </c>
      <c r="O30" s="639"/>
      <c r="P30" s="641"/>
      <c r="Q30" s="642"/>
      <c r="R30" s="642"/>
      <c r="S30" s="642"/>
      <c r="T30" s="642"/>
      <c r="U30" s="512">
        <f t="shared" si="5"/>
        <v>0</v>
      </c>
      <c r="V30" s="638"/>
      <c r="W30" s="651"/>
      <c r="X30" s="638"/>
      <c r="Y30" s="638"/>
      <c r="Z30" s="514">
        <f t="shared" si="6"/>
        <v>79</v>
      </c>
      <c r="AA30" s="638"/>
      <c r="AB30" s="649">
        <v>41</v>
      </c>
      <c r="AC30" s="597" t="s">
        <v>529</v>
      </c>
      <c r="AD30" s="644">
        <f t="shared" si="7"/>
        <v>120</v>
      </c>
      <c r="AE30" s="645"/>
      <c r="AF30" s="650"/>
      <c r="AG30" s="644">
        <f t="shared" si="8"/>
        <v>120</v>
      </c>
      <c r="AH30" s="29"/>
      <c r="AI30" s="29"/>
      <c r="AJ30" s="29"/>
      <c r="AK30" s="29"/>
      <c r="AL30" s="29"/>
      <c r="AM30" s="29"/>
      <c r="AN30" s="29"/>
    </row>
    <row r="31" spans="1:40" ht="26.25" customHeight="1" x14ac:dyDescent="0.25">
      <c r="A31" s="363" t="s">
        <v>530</v>
      </c>
      <c r="B31" s="637" t="s">
        <v>531</v>
      </c>
      <c r="C31" s="92">
        <v>60</v>
      </c>
      <c r="D31" s="92">
        <v>10</v>
      </c>
      <c r="E31" s="92"/>
      <c r="F31" s="92">
        <v>50</v>
      </c>
      <c r="G31" s="638"/>
      <c r="H31" s="638"/>
      <c r="I31" s="638"/>
      <c r="J31" s="638"/>
      <c r="K31" s="596" t="s">
        <v>532</v>
      </c>
      <c r="L31" s="638"/>
      <c r="M31" s="639">
        <f>10+100</f>
        <v>110</v>
      </c>
      <c r="N31" s="640">
        <f t="shared" si="9"/>
        <v>100</v>
      </c>
      <c r="O31" s="639"/>
      <c r="P31" s="641"/>
      <c r="Q31" s="642"/>
      <c r="R31" s="642"/>
      <c r="S31" s="642"/>
      <c r="T31" s="642"/>
      <c r="U31" s="512">
        <f t="shared" si="5"/>
        <v>0</v>
      </c>
      <c r="V31" s="638"/>
      <c r="W31" s="651"/>
      <c r="X31" s="638"/>
      <c r="Y31" s="638"/>
      <c r="Z31" s="514">
        <f t="shared" si="6"/>
        <v>110</v>
      </c>
      <c r="AA31" s="638"/>
      <c r="AB31" s="649">
        <f>110-100</f>
        <v>10</v>
      </c>
      <c r="AC31" s="597" t="s">
        <v>533</v>
      </c>
      <c r="AD31" s="644">
        <f t="shared" si="7"/>
        <v>120</v>
      </c>
      <c r="AE31" s="645"/>
      <c r="AF31" s="650"/>
      <c r="AG31" s="644">
        <f t="shared" si="8"/>
        <v>120</v>
      </c>
      <c r="AH31" s="29"/>
      <c r="AI31" s="29"/>
      <c r="AJ31" s="29"/>
      <c r="AK31" s="29"/>
      <c r="AL31" s="29"/>
      <c r="AM31" s="29"/>
      <c r="AN31" s="29"/>
    </row>
    <row r="32" spans="1:40" ht="26.25" customHeight="1" x14ac:dyDescent="0.25">
      <c r="A32" s="363" t="s">
        <v>534</v>
      </c>
      <c r="B32" s="637" t="s">
        <v>535</v>
      </c>
      <c r="C32" s="92">
        <v>64</v>
      </c>
      <c r="D32" s="92">
        <v>14</v>
      </c>
      <c r="E32" s="92"/>
      <c r="F32" s="92">
        <v>50</v>
      </c>
      <c r="G32" s="638"/>
      <c r="H32" s="638"/>
      <c r="I32" s="638"/>
      <c r="J32" s="638"/>
      <c r="K32" s="77" t="s">
        <v>536</v>
      </c>
      <c r="L32" s="638"/>
      <c r="M32" s="642">
        <v>15</v>
      </c>
      <c r="N32" s="640">
        <f t="shared" si="9"/>
        <v>1</v>
      </c>
      <c r="O32" s="639"/>
      <c r="P32" s="641"/>
      <c r="Q32" s="642"/>
      <c r="R32" s="642"/>
      <c r="S32" s="642"/>
      <c r="T32" s="642"/>
      <c r="U32" s="512">
        <f t="shared" si="5"/>
        <v>0</v>
      </c>
      <c r="V32" s="638"/>
      <c r="W32" s="651"/>
      <c r="X32" s="638"/>
      <c r="Y32" s="638"/>
      <c r="Z32" s="514">
        <f t="shared" si="6"/>
        <v>15</v>
      </c>
      <c r="AA32" s="638"/>
      <c r="AB32" s="649">
        <v>4</v>
      </c>
      <c r="AC32" s="643" t="s">
        <v>537</v>
      </c>
      <c r="AD32" s="644">
        <f t="shared" si="7"/>
        <v>19</v>
      </c>
      <c r="AE32" s="645"/>
      <c r="AF32" s="650"/>
      <c r="AG32" s="644">
        <f t="shared" si="8"/>
        <v>19</v>
      </c>
      <c r="AH32" s="29"/>
      <c r="AI32" s="29"/>
      <c r="AJ32" s="29"/>
      <c r="AK32" s="29"/>
      <c r="AL32" s="29"/>
      <c r="AM32" s="29"/>
      <c r="AN32" s="29"/>
    </row>
    <row r="33" spans="1:40" ht="26.25" customHeight="1" x14ac:dyDescent="0.25">
      <c r="A33" s="363" t="s">
        <v>538</v>
      </c>
      <c r="B33" s="663" t="s">
        <v>539</v>
      </c>
      <c r="C33" s="92">
        <v>200</v>
      </c>
      <c r="D33" s="92"/>
      <c r="E33" s="92"/>
      <c r="F33" s="92">
        <v>200</v>
      </c>
      <c r="G33" s="638"/>
      <c r="H33" s="638"/>
      <c r="I33" s="638"/>
      <c r="J33" s="638"/>
      <c r="K33" s="596" t="s">
        <v>540</v>
      </c>
      <c r="L33" s="638"/>
      <c r="M33" s="642">
        <f>30+150</f>
        <v>180</v>
      </c>
      <c r="N33" s="640">
        <f t="shared" si="9"/>
        <v>180</v>
      </c>
      <c r="O33" s="639"/>
      <c r="P33" s="641"/>
      <c r="Q33" s="642"/>
      <c r="R33" s="642"/>
      <c r="S33" s="642"/>
      <c r="T33" s="642"/>
      <c r="U33" s="512">
        <f t="shared" si="5"/>
        <v>0</v>
      </c>
      <c r="V33" s="638"/>
      <c r="W33" s="651"/>
      <c r="X33" s="638"/>
      <c r="Y33" s="638"/>
      <c r="Z33" s="514">
        <f t="shared" si="6"/>
        <v>180</v>
      </c>
      <c r="AA33" s="638"/>
      <c r="AB33" s="649">
        <f>470-150</f>
        <v>320</v>
      </c>
      <c r="AC33" s="643" t="s">
        <v>541</v>
      </c>
      <c r="AD33" s="644">
        <f t="shared" si="7"/>
        <v>500</v>
      </c>
      <c r="AE33" s="645"/>
      <c r="AF33" s="650"/>
      <c r="AG33" s="644">
        <f t="shared" si="8"/>
        <v>500</v>
      </c>
      <c r="AH33" s="29"/>
      <c r="AI33" s="29"/>
      <c r="AJ33" s="29"/>
      <c r="AK33" s="29"/>
      <c r="AL33" s="29"/>
      <c r="AM33" s="29"/>
      <c r="AN33" s="29"/>
    </row>
    <row r="34" spans="1:40" ht="26.25" customHeight="1" x14ac:dyDescent="0.25">
      <c r="A34" s="363" t="s">
        <v>542</v>
      </c>
      <c r="B34" s="664" t="s">
        <v>543</v>
      </c>
      <c r="C34" s="92">
        <v>1344.8</v>
      </c>
      <c r="D34" s="92">
        <v>1159.8</v>
      </c>
      <c r="E34" s="92"/>
      <c r="F34" s="92">
        <v>185</v>
      </c>
      <c r="G34" s="638"/>
      <c r="H34" s="638"/>
      <c r="I34" s="638"/>
      <c r="J34" s="638"/>
      <c r="K34" s="596" t="s">
        <v>544</v>
      </c>
      <c r="L34" s="638"/>
      <c r="M34" s="665">
        <f>1602.4-262.4</f>
        <v>1340</v>
      </c>
      <c r="N34" s="640"/>
      <c r="O34" s="639"/>
      <c r="P34" s="641"/>
      <c r="Q34" s="642"/>
      <c r="R34" s="642"/>
      <c r="S34" s="642"/>
      <c r="T34" s="642"/>
      <c r="U34" s="512">
        <f t="shared" si="5"/>
        <v>0</v>
      </c>
      <c r="V34" s="638"/>
      <c r="W34" s="647"/>
      <c r="X34" s="638"/>
      <c r="Y34" s="638"/>
      <c r="Z34" s="514">
        <f t="shared" si="6"/>
        <v>1340</v>
      </c>
      <c r="AA34" s="638"/>
      <c r="AB34" s="649">
        <f>170+262.4</f>
        <v>432.4</v>
      </c>
      <c r="AC34" s="643" t="s">
        <v>545</v>
      </c>
      <c r="AD34" s="644">
        <f t="shared" si="7"/>
        <v>1772.4</v>
      </c>
      <c r="AE34" s="645"/>
      <c r="AF34" s="650"/>
      <c r="AG34" s="644">
        <f t="shared" si="8"/>
        <v>1772.4</v>
      </c>
      <c r="AH34" s="29"/>
      <c r="AI34" s="29"/>
      <c r="AJ34" s="29"/>
      <c r="AK34" s="29"/>
      <c r="AL34" s="29"/>
      <c r="AM34" s="29"/>
      <c r="AN34" s="29"/>
    </row>
    <row r="35" spans="1:40" ht="26.25" customHeight="1" x14ac:dyDescent="0.25">
      <c r="A35" s="363" t="s">
        <v>546</v>
      </c>
      <c r="B35" s="637" t="s">
        <v>547</v>
      </c>
      <c r="C35" s="92">
        <v>1562.7</v>
      </c>
      <c r="D35" s="92">
        <v>1364.4</v>
      </c>
      <c r="E35" s="92">
        <v>10</v>
      </c>
      <c r="F35" s="92">
        <f>182.3+6</f>
        <v>188.3</v>
      </c>
      <c r="G35" s="638"/>
      <c r="H35" s="638"/>
      <c r="I35" s="638"/>
      <c r="J35" s="638"/>
      <c r="K35" s="596" t="s">
        <v>548</v>
      </c>
      <c r="L35" s="638"/>
      <c r="M35" s="665">
        <f>1578-184-74.8</f>
        <v>1319.2</v>
      </c>
      <c r="N35" s="640"/>
      <c r="O35" s="639">
        <v>12</v>
      </c>
      <c r="P35" s="641"/>
      <c r="Q35" s="642"/>
      <c r="R35" s="642"/>
      <c r="S35" s="642"/>
      <c r="T35" s="642"/>
      <c r="U35" s="512">
        <f t="shared" si="5"/>
        <v>0</v>
      </c>
      <c r="V35" s="638"/>
      <c r="W35" s="647"/>
      <c r="X35" s="638"/>
      <c r="Y35" s="638"/>
      <c r="Z35" s="514">
        <f t="shared" si="6"/>
        <v>1331.2</v>
      </c>
      <c r="AA35" s="638"/>
      <c r="AB35" s="649">
        <f>217+184+74.8</f>
        <v>475.8</v>
      </c>
      <c r="AC35" s="597" t="s">
        <v>549</v>
      </c>
      <c r="AD35" s="644">
        <f t="shared" si="7"/>
        <v>1807</v>
      </c>
      <c r="AE35" s="645">
        <v>1055</v>
      </c>
      <c r="AF35" s="646" t="s">
        <v>550</v>
      </c>
      <c r="AG35" s="644">
        <f t="shared" si="8"/>
        <v>2862</v>
      </c>
      <c r="AH35" s="29"/>
      <c r="AI35" s="29"/>
      <c r="AJ35" s="29"/>
      <c r="AK35" s="29"/>
      <c r="AL35" s="29"/>
      <c r="AM35" s="29"/>
      <c r="AN35" s="29"/>
    </row>
    <row r="36" spans="1:40" ht="26.25" customHeight="1" x14ac:dyDescent="0.25">
      <c r="A36" s="363" t="s">
        <v>551</v>
      </c>
      <c r="B36" s="637" t="s">
        <v>552</v>
      </c>
      <c r="C36" s="92"/>
      <c r="D36" s="92"/>
      <c r="E36" s="92"/>
      <c r="F36" s="92"/>
      <c r="G36" s="638"/>
      <c r="H36" s="638"/>
      <c r="I36" s="638"/>
      <c r="J36" s="638"/>
      <c r="K36" s="77" t="s">
        <v>553</v>
      </c>
      <c r="L36" s="638"/>
      <c r="M36" s="639">
        <v>128</v>
      </c>
      <c r="N36" s="640"/>
      <c r="O36" s="639"/>
      <c r="P36" s="641"/>
      <c r="Q36" s="642"/>
      <c r="R36" s="642"/>
      <c r="S36" s="642"/>
      <c r="T36" s="642"/>
      <c r="U36" s="512">
        <f t="shared" si="5"/>
        <v>0</v>
      </c>
      <c r="V36" s="638"/>
      <c r="W36" s="647"/>
      <c r="X36" s="638"/>
      <c r="Y36" s="638"/>
      <c r="Z36" s="514">
        <f t="shared" si="6"/>
        <v>128</v>
      </c>
      <c r="AA36" s="638"/>
      <c r="AB36" s="649"/>
      <c r="AC36" s="643"/>
      <c r="AD36" s="644">
        <f t="shared" si="7"/>
        <v>128</v>
      </c>
      <c r="AE36" s="645"/>
      <c r="AF36" s="650"/>
      <c r="AG36" s="644">
        <f t="shared" si="8"/>
        <v>128</v>
      </c>
      <c r="AH36" s="29"/>
      <c r="AI36" s="29"/>
      <c r="AJ36" s="29"/>
      <c r="AK36" s="29"/>
      <c r="AL36" s="29"/>
      <c r="AM36" s="29"/>
      <c r="AN36" s="29"/>
    </row>
    <row r="37" spans="1:40" s="9" customFormat="1" ht="26.25" customHeight="1" x14ac:dyDescent="0.25">
      <c r="A37" s="489" t="s">
        <v>554</v>
      </c>
      <c r="B37" s="666" t="s">
        <v>555</v>
      </c>
      <c r="C37" s="667">
        <f t="shared" ref="C37:AG37" si="13">C38+C65+C75</f>
        <v>42872.799999999988</v>
      </c>
      <c r="D37" s="667">
        <f t="shared" si="13"/>
        <v>14547.800000000001</v>
      </c>
      <c r="E37" s="667">
        <f t="shared" si="13"/>
        <v>1554.5</v>
      </c>
      <c r="F37" s="667">
        <f t="shared" si="13"/>
        <v>2501</v>
      </c>
      <c r="G37" s="667">
        <f t="shared" si="13"/>
        <v>15.7</v>
      </c>
      <c r="H37" s="667">
        <f t="shared" si="13"/>
        <v>0</v>
      </c>
      <c r="I37" s="667">
        <f t="shared" si="13"/>
        <v>0</v>
      </c>
      <c r="J37" s="667">
        <f t="shared" si="13"/>
        <v>0</v>
      </c>
      <c r="K37" s="667"/>
      <c r="L37" s="667">
        <f t="shared" si="13"/>
        <v>0</v>
      </c>
      <c r="M37" s="667">
        <f t="shared" si="13"/>
        <v>15440.1</v>
      </c>
      <c r="N37" s="668">
        <f t="shared" si="13"/>
        <v>115</v>
      </c>
      <c r="O37" s="667">
        <f t="shared" si="13"/>
        <v>2127.1999999999998</v>
      </c>
      <c r="P37" s="667">
        <f t="shared" si="13"/>
        <v>0</v>
      </c>
      <c r="Q37" s="667">
        <f t="shared" si="13"/>
        <v>24519.8</v>
      </c>
      <c r="R37" s="667">
        <f t="shared" si="13"/>
        <v>21.7</v>
      </c>
      <c r="S37" s="667">
        <f t="shared" si="13"/>
        <v>607.1</v>
      </c>
      <c r="T37" s="667">
        <f t="shared" si="13"/>
        <v>2754</v>
      </c>
      <c r="U37" s="667">
        <f t="shared" si="13"/>
        <v>27902.6</v>
      </c>
      <c r="V37" s="667">
        <f t="shared" si="13"/>
        <v>0</v>
      </c>
      <c r="W37" s="667">
        <f t="shared" si="13"/>
        <v>0</v>
      </c>
      <c r="X37" s="667">
        <f t="shared" si="13"/>
        <v>0</v>
      </c>
      <c r="Y37" s="667">
        <f t="shared" si="13"/>
        <v>0</v>
      </c>
      <c r="Z37" s="669">
        <f t="shared" si="13"/>
        <v>45469.900000000016</v>
      </c>
      <c r="AA37" s="667">
        <f t="shared" si="13"/>
        <v>0</v>
      </c>
      <c r="AB37" s="670">
        <f t="shared" si="13"/>
        <v>3686.8999999999996</v>
      </c>
      <c r="AC37" s="670">
        <f t="shared" si="13"/>
        <v>0</v>
      </c>
      <c r="AD37" s="667">
        <f t="shared" si="13"/>
        <v>49156.800000000003</v>
      </c>
      <c r="AE37" s="667">
        <f t="shared" si="13"/>
        <v>0</v>
      </c>
      <c r="AF37" s="667">
        <f t="shared" si="13"/>
        <v>0</v>
      </c>
      <c r="AG37" s="667">
        <f t="shared" si="13"/>
        <v>49156.800000000003</v>
      </c>
      <c r="AH37" s="80"/>
      <c r="AI37" s="80"/>
      <c r="AJ37" s="80"/>
      <c r="AK37" s="80"/>
      <c r="AL37" s="80"/>
      <c r="AM37" s="80"/>
      <c r="AN37" s="80"/>
    </row>
    <row r="38" spans="1:40" s="9" customFormat="1" ht="26.25" customHeight="1" x14ac:dyDescent="0.25">
      <c r="A38" s="495" t="s">
        <v>556</v>
      </c>
      <c r="B38" s="656" t="s">
        <v>557</v>
      </c>
      <c r="C38" s="657">
        <f>C39+C40+C41+C42+C43+C44+C45+C46+C47+C48+C49+C50+C51+C52+C53+C54+C55+C56+C57+C58+C59+C60+C61+C62</f>
        <v>42352.19999999999</v>
      </c>
      <c r="D38" s="657">
        <f t="shared" ref="D38:L38" si="14">D39+D40+D41+D42+D43+D44+D45+D46+D47+D48+D49+D50+D51+D52+D53+D54+D55+D56+D57+D58+D59+D60+D61+D62</f>
        <v>14208.2</v>
      </c>
      <c r="E38" s="657">
        <f t="shared" si="14"/>
        <v>1554.5</v>
      </c>
      <c r="F38" s="657">
        <f t="shared" si="14"/>
        <v>2377.6999999999998</v>
      </c>
      <c r="G38" s="657">
        <f t="shared" si="14"/>
        <v>0</v>
      </c>
      <c r="H38" s="657">
        <f t="shared" si="14"/>
        <v>0</v>
      </c>
      <c r="I38" s="657">
        <f t="shared" si="14"/>
        <v>0</v>
      </c>
      <c r="J38" s="657">
        <f t="shared" si="14"/>
        <v>0</v>
      </c>
      <c r="K38" s="657"/>
      <c r="L38" s="657">
        <f t="shared" si="14"/>
        <v>0</v>
      </c>
      <c r="M38" s="657">
        <f>M39+M40+M41+M42+M43+M44+M45+M46+M47+M48+M49+M50+M51+M52+M53+M54+M55+M56+M57+M58+M59+M60+M61+M62+M63+M64</f>
        <v>15017.6</v>
      </c>
      <c r="N38" s="660">
        <f t="shared" ref="N38:AB38" si="15">N39+N40+N41+N42+N43+N44+N45+N46+N47+N48+N49+N50+N51+N52+N53+N54+N55+N56+N57+N58+N59+N60+N61+N62+N63+N64</f>
        <v>0</v>
      </c>
      <c r="O38" s="657">
        <f t="shared" si="15"/>
        <v>2127.1999999999998</v>
      </c>
      <c r="P38" s="657">
        <f t="shared" si="15"/>
        <v>0</v>
      </c>
      <c r="Q38" s="657">
        <f t="shared" si="15"/>
        <v>24519.8</v>
      </c>
      <c r="R38" s="657">
        <f t="shared" si="15"/>
        <v>0</v>
      </c>
      <c r="S38" s="657">
        <f t="shared" si="15"/>
        <v>571.1</v>
      </c>
      <c r="T38" s="657">
        <f>T39+T40+T41+T42+T43+T44+T45+T46+T47+T48+T49+T50+T51+T52+T53+T54+T55+T56+T57+T58+T59+T60+T61+T62+T63+T64</f>
        <v>2754</v>
      </c>
      <c r="U38" s="657">
        <f t="shared" si="15"/>
        <v>27844.899999999998</v>
      </c>
      <c r="V38" s="657">
        <f t="shared" si="15"/>
        <v>0</v>
      </c>
      <c r="W38" s="657">
        <f t="shared" si="15"/>
        <v>0</v>
      </c>
      <c r="X38" s="657">
        <f t="shared" si="15"/>
        <v>0</v>
      </c>
      <c r="Y38" s="657">
        <f t="shared" si="15"/>
        <v>0</v>
      </c>
      <c r="Z38" s="671">
        <f t="shared" si="15"/>
        <v>44989.700000000012</v>
      </c>
      <c r="AA38" s="657">
        <f t="shared" si="15"/>
        <v>0</v>
      </c>
      <c r="AB38" s="662">
        <f t="shared" si="15"/>
        <v>3552.7999999999997</v>
      </c>
      <c r="AC38" s="662"/>
      <c r="AD38" s="657">
        <f t="shared" ref="AD38" si="16">AD39+AD40+AD41+AD42+AD43+AD44+AD45+AD46+AD47+AD48+AD49+AD50+AD51+AD52+AD53+AD54+AD55+AD56+AD57+AD58+AD59+AD60+AD61+AD62+AD63+AD64</f>
        <v>48542.5</v>
      </c>
      <c r="AE38" s="650"/>
      <c r="AF38" s="650"/>
      <c r="AG38" s="657">
        <f t="shared" ref="AG38" si="17">AG39+AG40+AG41+AG42+AG43+AG44+AG45+AG46+AG47+AG48+AG49+AG50+AG51+AG52+AG53+AG54+AG55+AG56+AG57+AG58+AG59+AG60+AG61+AG62+AG63+AG64</f>
        <v>48542.5</v>
      </c>
      <c r="AH38" s="80"/>
      <c r="AI38" s="80"/>
      <c r="AJ38" s="80"/>
      <c r="AK38" s="80"/>
      <c r="AL38" s="80"/>
      <c r="AM38" s="80"/>
      <c r="AN38" s="80"/>
    </row>
    <row r="39" spans="1:40" ht="26.25" customHeight="1" x14ac:dyDescent="0.25">
      <c r="A39" s="363" t="s">
        <v>558</v>
      </c>
      <c r="B39" s="637" t="s">
        <v>559</v>
      </c>
      <c r="C39" s="92">
        <v>6585.6</v>
      </c>
      <c r="D39" s="92">
        <v>1807.2</v>
      </c>
      <c r="E39" s="92">
        <v>132.9</v>
      </c>
      <c r="F39" s="92">
        <f>205.2+49</f>
        <v>254.2</v>
      </c>
      <c r="G39" s="638"/>
      <c r="H39" s="638"/>
      <c r="I39" s="638"/>
      <c r="J39" s="638"/>
      <c r="K39" s="596" t="s">
        <v>560</v>
      </c>
      <c r="L39" s="638"/>
      <c r="M39" s="672">
        <f>2961.6-470.2</f>
        <v>2491.4</v>
      </c>
      <c r="N39" s="640"/>
      <c r="O39" s="639">
        <v>200.4</v>
      </c>
      <c r="P39" s="641"/>
      <c r="Q39" s="672">
        <v>4243.7</v>
      </c>
      <c r="R39" s="642"/>
      <c r="S39" s="642"/>
      <c r="T39" s="642"/>
      <c r="U39" s="512">
        <f t="shared" si="5"/>
        <v>4243.7</v>
      </c>
      <c r="V39" s="638"/>
      <c r="W39" s="647"/>
      <c r="X39" s="638"/>
      <c r="Y39" s="638"/>
      <c r="Z39" s="514">
        <f t="shared" si="6"/>
        <v>6935.5</v>
      </c>
      <c r="AA39" s="638"/>
      <c r="AB39" s="649">
        <v>470.2</v>
      </c>
      <c r="AC39" s="649" t="s">
        <v>561</v>
      </c>
      <c r="AD39" s="644">
        <f t="shared" si="7"/>
        <v>7405.7</v>
      </c>
      <c r="AE39" s="645"/>
      <c r="AF39" s="650"/>
      <c r="AG39" s="644">
        <f t="shared" si="8"/>
        <v>7405.7</v>
      </c>
      <c r="AH39" s="29"/>
      <c r="AI39" s="29"/>
      <c r="AJ39" s="29"/>
      <c r="AK39" s="29"/>
      <c r="AL39" s="29"/>
      <c r="AM39" s="29"/>
      <c r="AN39" s="29"/>
    </row>
    <row r="40" spans="1:40" ht="26.25" customHeight="1" x14ac:dyDescent="0.25">
      <c r="A40" s="363" t="s">
        <v>562</v>
      </c>
      <c r="B40" s="637" t="s">
        <v>563</v>
      </c>
      <c r="C40" s="92">
        <v>61.2</v>
      </c>
      <c r="D40" s="92"/>
      <c r="E40" s="92"/>
      <c r="F40" s="92"/>
      <c r="G40" s="638"/>
      <c r="H40" s="638"/>
      <c r="I40" s="638"/>
      <c r="J40" s="638"/>
      <c r="K40" s="648"/>
      <c r="L40" s="638"/>
      <c r="M40" s="642"/>
      <c r="N40" s="640"/>
      <c r="O40" s="639"/>
      <c r="P40" s="641"/>
      <c r="Q40" s="642">
        <v>88.3</v>
      </c>
      <c r="R40" s="642"/>
      <c r="S40" s="642"/>
      <c r="T40" s="642"/>
      <c r="U40" s="512">
        <f t="shared" si="5"/>
        <v>88.3</v>
      </c>
      <c r="V40" s="638"/>
      <c r="W40" s="651"/>
      <c r="X40" s="638"/>
      <c r="Y40" s="638"/>
      <c r="Z40" s="514">
        <f t="shared" si="6"/>
        <v>88.3</v>
      </c>
      <c r="AA40" s="638"/>
      <c r="AB40" s="649"/>
      <c r="AC40" s="649"/>
      <c r="AD40" s="644">
        <f t="shared" si="7"/>
        <v>88.3</v>
      </c>
      <c r="AE40" s="645"/>
      <c r="AF40" s="650"/>
      <c r="AG40" s="644">
        <f t="shared" si="8"/>
        <v>88.3</v>
      </c>
      <c r="AH40" s="29"/>
      <c r="AI40" s="29"/>
      <c r="AJ40" s="29"/>
      <c r="AK40" s="29"/>
      <c r="AL40" s="29"/>
      <c r="AM40" s="29"/>
      <c r="AN40" s="29"/>
    </row>
    <row r="41" spans="1:40" ht="26.25" customHeight="1" x14ac:dyDescent="0.25">
      <c r="A41" s="363" t="s">
        <v>564</v>
      </c>
      <c r="B41" s="637" t="s">
        <v>565</v>
      </c>
      <c r="C41" s="92">
        <v>30.8</v>
      </c>
      <c r="D41" s="92"/>
      <c r="E41" s="92"/>
      <c r="F41" s="92"/>
      <c r="G41" s="638"/>
      <c r="H41" s="638"/>
      <c r="I41" s="638"/>
      <c r="J41" s="638"/>
      <c r="K41" s="648"/>
      <c r="L41" s="638"/>
      <c r="M41" s="642"/>
      <c r="N41" s="640"/>
      <c r="O41" s="639"/>
      <c r="P41" s="641"/>
      <c r="Q41" s="642">
        <v>40.5</v>
      </c>
      <c r="R41" s="642"/>
      <c r="S41" s="642"/>
      <c r="T41" s="642"/>
      <c r="U41" s="512">
        <f t="shared" si="5"/>
        <v>40.5</v>
      </c>
      <c r="V41" s="638"/>
      <c r="W41" s="651"/>
      <c r="X41" s="638"/>
      <c r="Y41" s="638"/>
      <c r="Z41" s="514">
        <f t="shared" si="6"/>
        <v>40.5</v>
      </c>
      <c r="AA41" s="638"/>
      <c r="AB41" s="649"/>
      <c r="AC41" s="649"/>
      <c r="AD41" s="644">
        <f t="shared" si="7"/>
        <v>40.5</v>
      </c>
      <c r="AE41" s="645"/>
      <c r="AF41" s="650"/>
      <c r="AG41" s="644">
        <f t="shared" si="8"/>
        <v>40.5</v>
      </c>
      <c r="AH41" s="29"/>
      <c r="AI41" s="29"/>
      <c r="AJ41" s="29"/>
      <c r="AK41" s="29"/>
      <c r="AL41" s="29"/>
      <c r="AM41" s="29"/>
      <c r="AN41" s="29"/>
    </row>
    <row r="42" spans="1:40" ht="26.25" customHeight="1" x14ac:dyDescent="0.25">
      <c r="A42" s="363" t="s">
        <v>566</v>
      </c>
      <c r="B42" s="637" t="s">
        <v>567</v>
      </c>
      <c r="C42" s="92">
        <v>1572.8</v>
      </c>
      <c r="D42" s="92">
        <v>327.8</v>
      </c>
      <c r="E42" s="92"/>
      <c r="F42" s="92">
        <v>58.2</v>
      </c>
      <c r="G42" s="638"/>
      <c r="H42" s="638"/>
      <c r="I42" s="638"/>
      <c r="J42" s="638"/>
      <c r="K42" s="596" t="s">
        <v>568</v>
      </c>
      <c r="L42" s="638"/>
      <c r="M42" s="672">
        <f>199.2-31.6</f>
        <v>167.6</v>
      </c>
      <c r="N42" s="640"/>
      <c r="O42" s="639"/>
      <c r="P42" s="641"/>
      <c r="Q42" s="642">
        <v>1359.6</v>
      </c>
      <c r="R42" s="642"/>
      <c r="S42" s="642"/>
      <c r="T42" s="642"/>
      <c r="U42" s="512">
        <f t="shared" si="5"/>
        <v>1359.6</v>
      </c>
      <c r="V42" s="638"/>
      <c r="W42" s="647"/>
      <c r="X42" s="638"/>
      <c r="Y42" s="638"/>
      <c r="Z42" s="514">
        <f t="shared" si="6"/>
        <v>1527.1999999999998</v>
      </c>
      <c r="AA42" s="638"/>
      <c r="AB42" s="649">
        <v>31.6</v>
      </c>
      <c r="AC42" s="649" t="s">
        <v>569</v>
      </c>
      <c r="AD42" s="644">
        <f t="shared" si="7"/>
        <v>1558.7999999999997</v>
      </c>
      <c r="AE42" s="645"/>
      <c r="AF42" s="650"/>
      <c r="AG42" s="644">
        <f t="shared" si="8"/>
        <v>1558.7999999999997</v>
      </c>
      <c r="AH42" s="29"/>
      <c r="AI42" s="29"/>
      <c r="AJ42" s="29"/>
      <c r="AK42" s="29"/>
      <c r="AL42" s="29"/>
      <c r="AM42" s="29"/>
      <c r="AN42" s="29"/>
    </row>
    <row r="43" spans="1:40" ht="26.25" customHeight="1" x14ac:dyDescent="0.25">
      <c r="A43" s="363" t="s">
        <v>570</v>
      </c>
      <c r="B43" s="637" t="s">
        <v>571</v>
      </c>
      <c r="C43" s="92">
        <v>13384.2</v>
      </c>
      <c r="D43" s="92">
        <v>716.4</v>
      </c>
      <c r="E43" s="92">
        <v>136.4</v>
      </c>
      <c r="F43" s="92">
        <v>34.4</v>
      </c>
      <c r="G43" s="638"/>
      <c r="H43" s="638"/>
      <c r="I43" s="638"/>
      <c r="J43" s="638"/>
      <c r="K43" s="596" t="s">
        <v>572</v>
      </c>
      <c r="L43" s="638"/>
      <c r="M43" s="672">
        <f>738.3-117.7</f>
        <v>620.59999999999991</v>
      </c>
      <c r="N43" s="640"/>
      <c r="O43" s="639">
        <v>216.5</v>
      </c>
      <c r="P43" s="641"/>
      <c r="Q43" s="639">
        <v>13124.1</v>
      </c>
      <c r="R43" s="642"/>
      <c r="S43" s="642"/>
      <c r="T43" s="642"/>
      <c r="U43" s="512">
        <f t="shared" si="5"/>
        <v>13124.1</v>
      </c>
      <c r="V43" s="638"/>
      <c r="W43" s="647"/>
      <c r="X43" s="638"/>
      <c r="Y43" s="638"/>
      <c r="Z43" s="514">
        <f t="shared" si="6"/>
        <v>13961.2</v>
      </c>
      <c r="AA43" s="638"/>
      <c r="AB43" s="649">
        <v>117.7</v>
      </c>
      <c r="AC43" s="649" t="s">
        <v>573</v>
      </c>
      <c r="AD43" s="644">
        <f t="shared" si="7"/>
        <v>14078.900000000001</v>
      </c>
      <c r="AE43" s="645"/>
      <c r="AF43" s="650"/>
      <c r="AG43" s="644">
        <f t="shared" si="8"/>
        <v>14078.900000000001</v>
      </c>
      <c r="AH43" s="29"/>
      <c r="AI43" s="29"/>
      <c r="AJ43" s="29"/>
      <c r="AK43" s="29"/>
      <c r="AL43" s="29"/>
      <c r="AM43" s="29"/>
      <c r="AN43" s="29"/>
    </row>
    <row r="44" spans="1:40" ht="26.25" customHeight="1" x14ac:dyDescent="0.25">
      <c r="A44" s="363" t="s">
        <v>574</v>
      </c>
      <c r="B44" s="637" t="s">
        <v>575</v>
      </c>
      <c r="C44" s="92">
        <v>1673.3</v>
      </c>
      <c r="D44" s="92">
        <v>42.6</v>
      </c>
      <c r="E44" s="92"/>
      <c r="F44" s="92">
        <v>4</v>
      </c>
      <c r="G44" s="638"/>
      <c r="H44" s="638"/>
      <c r="I44" s="638"/>
      <c r="J44" s="638"/>
      <c r="K44" s="596" t="s">
        <v>576</v>
      </c>
      <c r="L44" s="638"/>
      <c r="M44" s="672">
        <f>49.3-6.9</f>
        <v>42.4</v>
      </c>
      <c r="N44" s="640"/>
      <c r="O44" s="639"/>
      <c r="P44" s="641"/>
      <c r="Q44" s="639">
        <v>1610</v>
      </c>
      <c r="R44" s="642"/>
      <c r="S44" s="642"/>
      <c r="T44" s="642"/>
      <c r="U44" s="512">
        <f t="shared" si="5"/>
        <v>1610</v>
      </c>
      <c r="V44" s="638"/>
      <c r="W44" s="647"/>
      <c r="X44" s="638"/>
      <c r="Y44" s="638"/>
      <c r="Z44" s="514">
        <f t="shared" si="6"/>
        <v>1652.4</v>
      </c>
      <c r="AA44" s="638"/>
      <c r="AB44" s="649">
        <v>6.9</v>
      </c>
      <c r="AC44" s="597" t="s">
        <v>577</v>
      </c>
      <c r="AD44" s="644">
        <f t="shared" si="7"/>
        <v>1659.3000000000002</v>
      </c>
      <c r="AE44" s="645"/>
      <c r="AF44" s="650"/>
      <c r="AG44" s="644">
        <f t="shared" si="8"/>
        <v>1659.3000000000002</v>
      </c>
      <c r="AH44" s="29"/>
      <c r="AI44" s="29"/>
      <c r="AJ44" s="29"/>
      <c r="AK44" s="29"/>
      <c r="AL44" s="29"/>
      <c r="AM44" s="29"/>
      <c r="AN44" s="29"/>
    </row>
    <row r="45" spans="1:40" ht="26.25" customHeight="1" x14ac:dyDescent="0.25">
      <c r="A45" s="363" t="s">
        <v>578</v>
      </c>
      <c r="B45" s="637" t="s">
        <v>579</v>
      </c>
      <c r="C45" s="92">
        <v>134.1</v>
      </c>
      <c r="D45" s="92"/>
      <c r="E45" s="92"/>
      <c r="F45" s="92"/>
      <c r="G45" s="638"/>
      <c r="H45" s="638"/>
      <c r="I45" s="638"/>
      <c r="J45" s="638"/>
      <c r="K45" s="648"/>
      <c r="L45" s="638"/>
      <c r="M45" s="642"/>
      <c r="N45" s="640"/>
      <c r="O45" s="639"/>
      <c r="P45" s="641"/>
      <c r="Q45" s="639">
        <v>425.9</v>
      </c>
      <c r="R45" s="642"/>
      <c r="S45" s="642"/>
      <c r="T45" s="642"/>
      <c r="U45" s="512">
        <f t="shared" si="5"/>
        <v>425.9</v>
      </c>
      <c r="V45" s="638"/>
      <c r="W45" s="651"/>
      <c r="X45" s="638"/>
      <c r="Y45" s="638"/>
      <c r="Z45" s="514">
        <f t="shared" si="6"/>
        <v>425.9</v>
      </c>
      <c r="AA45" s="638"/>
      <c r="AB45" s="649"/>
      <c r="AC45" s="649"/>
      <c r="AD45" s="644">
        <f t="shared" si="7"/>
        <v>425.9</v>
      </c>
      <c r="AE45" s="645"/>
      <c r="AF45" s="650"/>
      <c r="AG45" s="644">
        <f t="shared" si="8"/>
        <v>425.9</v>
      </c>
      <c r="AH45" s="29"/>
      <c r="AI45" s="29"/>
      <c r="AJ45" s="29"/>
      <c r="AK45" s="29"/>
      <c r="AL45" s="29"/>
      <c r="AM45" s="29"/>
      <c r="AN45" s="29"/>
    </row>
    <row r="46" spans="1:40" ht="26.25" customHeight="1" x14ac:dyDescent="0.25">
      <c r="A46" s="363" t="s">
        <v>580</v>
      </c>
      <c r="B46" s="637" t="s">
        <v>581</v>
      </c>
      <c r="C46" s="92">
        <v>12.8</v>
      </c>
      <c r="D46" s="92"/>
      <c r="E46" s="92"/>
      <c r="F46" s="92"/>
      <c r="G46" s="638"/>
      <c r="H46" s="638"/>
      <c r="I46" s="638"/>
      <c r="J46" s="638"/>
      <c r="K46" s="648"/>
      <c r="L46" s="638"/>
      <c r="M46" s="642"/>
      <c r="N46" s="640"/>
      <c r="O46" s="639"/>
      <c r="P46" s="641"/>
      <c r="Q46" s="642">
        <v>12.8</v>
      </c>
      <c r="R46" s="642"/>
      <c r="S46" s="642"/>
      <c r="T46" s="642"/>
      <c r="U46" s="512">
        <f t="shared" si="5"/>
        <v>12.8</v>
      </c>
      <c r="V46" s="638"/>
      <c r="W46" s="651"/>
      <c r="X46" s="638"/>
      <c r="Y46" s="638"/>
      <c r="Z46" s="514">
        <f t="shared" si="6"/>
        <v>12.8</v>
      </c>
      <c r="AA46" s="638"/>
      <c r="AB46" s="649"/>
      <c r="AC46" s="649"/>
      <c r="AD46" s="644">
        <f t="shared" si="7"/>
        <v>12.8</v>
      </c>
      <c r="AE46" s="645"/>
      <c r="AF46" s="650"/>
      <c r="AG46" s="644">
        <f t="shared" si="8"/>
        <v>12.8</v>
      </c>
      <c r="AH46" s="29"/>
      <c r="AI46" s="29"/>
      <c r="AJ46" s="29"/>
      <c r="AK46" s="29"/>
      <c r="AL46" s="29"/>
      <c r="AM46" s="29"/>
      <c r="AN46" s="29"/>
    </row>
    <row r="47" spans="1:40" ht="26.25" customHeight="1" x14ac:dyDescent="0.25">
      <c r="A47" s="363" t="s">
        <v>582</v>
      </c>
      <c r="B47" s="637" t="s">
        <v>583</v>
      </c>
      <c r="C47" s="92">
        <v>10101.4</v>
      </c>
      <c r="D47" s="92">
        <v>7390.6</v>
      </c>
      <c r="E47" s="92">
        <f>44.2+71.5+1051.5</f>
        <v>1167.2</v>
      </c>
      <c r="F47" s="92">
        <f>1198+17.4+2.8+99.4</f>
        <v>1317.6000000000001</v>
      </c>
      <c r="G47" s="638"/>
      <c r="H47" s="638"/>
      <c r="I47" s="638"/>
      <c r="J47" s="638"/>
      <c r="K47" s="596" t="s">
        <v>584</v>
      </c>
      <c r="L47" s="638"/>
      <c r="M47" s="642">
        <f>8230.4-1088.7-208.7+650</f>
        <v>7583</v>
      </c>
      <c r="N47" s="640"/>
      <c r="O47" s="639">
        <f>1438.6+55.7+69.5</f>
        <v>1563.8</v>
      </c>
      <c r="P47" s="641"/>
      <c r="Q47" s="642"/>
      <c r="R47" s="642"/>
      <c r="S47" s="642">
        <v>226</v>
      </c>
      <c r="T47" s="642"/>
      <c r="U47" s="512">
        <f t="shared" si="5"/>
        <v>226</v>
      </c>
      <c r="V47" s="638"/>
      <c r="W47" s="647"/>
      <c r="X47" s="638"/>
      <c r="Y47" s="638"/>
      <c r="Z47" s="514">
        <f t="shared" si="6"/>
        <v>9372.7999999999993</v>
      </c>
      <c r="AA47" s="638"/>
      <c r="AB47" s="649">
        <f>1381.2+1088.7+208.7-650</f>
        <v>2028.6</v>
      </c>
      <c r="AC47" s="643" t="s">
        <v>585</v>
      </c>
      <c r="AD47" s="644">
        <f t="shared" si="7"/>
        <v>11401.4</v>
      </c>
      <c r="AE47" s="645"/>
      <c r="AF47" s="650"/>
      <c r="AG47" s="644">
        <f t="shared" si="8"/>
        <v>11401.4</v>
      </c>
      <c r="AH47" s="29"/>
      <c r="AI47" s="29"/>
      <c r="AJ47" s="29"/>
      <c r="AK47" s="29"/>
      <c r="AL47" s="29"/>
      <c r="AM47" s="29"/>
      <c r="AN47" s="29"/>
    </row>
    <row r="48" spans="1:40" ht="26.25" customHeight="1" x14ac:dyDescent="0.25">
      <c r="A48" s="363" t="s">
        <v>586</v>
      </c>
      <c r="B48" s="637" t="s">
        <v>587</v>
      </c>
      <c r="C48" s="92">
        <v>492.2</v>
      </c>
      <c r="D48" s="92">
        <v>375.6</v>
      </c>
      <c r="E48" s="92">
        <v>3</v>
      </c>
      <c r="F48" s="92">
        <v>113.6</v>
      </c>
      <c r="G48" s="638"/>
      <c r="H48" s="638"/>
      <c r="I48" s="638"/>
      <c r="J48" s="638"/>
      <c r="K48" s="596" t="s">
        <v>588</v>
      </c>
      <c r="L48" s="638"/>
      <c r="M48" s="672">
        <f>542.7-70.6-16.2</f>
        <v>455.90000000000003</v>
      </c>
      <c r="N48" s="640"/>
      <c r="O48" s="639">
        <v>22</v>
      </c>
      <c r="P48" s="641"/>
      <c r="Q48" s="642"/>
      <c r="R48" s="642"/>
      <c r="S48" s="642"/>
      <c r="T48" s="642"/>
      <c r="U48" s="512">
        <f t="shared" si="5"/>
        <v>0</v>
      </c>
      <c r="V48" s="638"/>
      <c r="W48" s="647"/>
      <c r="X48" s="638"/>
      <c r="Y48" s="638"/>
      <c r="Z48" s="514">
        <f t="shared" si="6"/>
        <v>477.90000000000003</v>
      </c>
      <c r="AA48" s="638"/>
      <c r="AB48" s="649">
        <f>73+70.6+16.2</f>
        <v>159.79999999999998</v>
      </c>
      <c r="AC48" s="643" t="s">
        <v>589</v>
      </c>
      <c r="AD48" s="644">
        <f t="shared" si="7"/>
        <v>637.70000000000005</v>
      </c>
      <c r="AE48" s="645"/>
      <c r="AF48" s="650"/>
      <c r="AG48" s="644">
        <f t="shared" si="8"/>
        <v>637.70000000000005</v>
      </c>
      <c r="AH48" s="29"/>
      <c r="AI48" s="29"/>
      <c r="AJ48" s="29"/>
      <c r="AK48" s="29"/>
      <c r="AL48" s="29"/>
      <c r="AM48" s="29"/>
      <c r="AN48" s="29"/>
    </row>
    <row r="49" spans="1:40" ht="26.25" customHeight="1" x14ac:dyDescent="0.25">
      <c r="A49" s="363" t="s">
        <v>590</v>
      </c>
      <c r="B49" s="637" t="s">
        <v>591</v>
      </c>
      <c r="C49" s="92">
        <v>345.1</v>
      </c>
      <c r="D49" s="92"/>
      <c r="E49" s="92"/>
      <c r="F49" s="92"/>
      <c r="G49" s="638"/>
      <c r="H49" s="638"/>
      <c r="I49" s="638"/>
      <c r="J49" s="638"/>
      <c r="K49" s="648"/>
      <c r="L49" s="638"/>
      <c r="M49" s="642"/>
      <c r="N49" s="640"/>
      <c r="O49" s="639"/>
      <c r="P49" s="641"/>
      <c r="Q49" s="642"/>
      <c r="R49" s="642"/>
      <c r="S49" s="642">
        <v>345.1</v>
      </c>
      <c r="T49" s="642"/>
      <c r="U49" s="512">
        <f t="shared" si="5"/>
        <v>345.1</v>
      </c>
      <c r="V49" s="638"/>
      <c r="W49" s="651"/>
      <c r="X49" s="638"/>
      <c r="Y49" s="638"/>
      <c r="Z49" s="514">
        <f t="shared" si="6"/>
        <v>345.1</v>
      </c>
      <c r="AA49" s="638"/>
      <c r="AB49" s="649"/>
      <c r="AC49" s="649"/>
      <c r="AD49" s="644">
        <f t="shared" si="7"/>
        <v>345.1</v>
      </c>
      <c r="AE49" s="645"/>
      <c r="AF49" s="650"/>
      <c r="AG49" s="644">
        <f t="shared" si="8"/>
        <v>345.1</v>
      </c>
      <c r="AH49" s="29"/>
      <c r="AI49" s="29"/>
      <c r="AJ49" s="29"/>
      <c r="AK49" s="29"/>
      <c r="AL49" s="29"/>
      <c r="AM49" s="29"/>
      <c r="AN49" s="29"/>
    </row>
    <row r="50" spans="1:40" ht="26.25" customHeight="1" x14ac:dyDescent="0.25">
      <c r="A50" s="363" t="s">
        <v>592</v>
      </c>
      <c r="B50" s="637" t="s">
        <v>593</v>
      </c>
      <c r="C50" s="92">
        <v>779.4</v>
      </c>
      <c r="D50" s="92">
        <v>696.8</v>
      </c>
      <c r="E50" s="92"/>
      <c r="F50" s="92">
        <v>82.6</v>
      </c>
      <c r="G50" s="638"/>
      <c r="H50" s="638"/>
      <c r="I50" s="638"/>
      <c r="J50" s="638"/>
      <c r="K50" s="596" t="s">
        <v>594</v>
      </c>
      <c r="L50" s="638"/>
      <c r="M50" s="672">
        <f>893.9-144.6</f>
        <v>749.3</v>
      </c>
      <c r="N50" s="640"/>
      <c r="O50" s="639"/>
      <c r="P50" s="641"/>
      <c r="Q50" s="642"/>
      <c r="R50" s="642"/>
      <c r="S50" s="642"/>
      <c r="T50" s="642"/>
      <c r="U50" s="512">
        <f t="shared" si="5"/>
        <v>0</v>
      </c>
      <c r="V50" s="638"/>
      <c r="W50" s="647"/>
      <c r="X50" s="638"/>
      <c r="Y50" s="638"/>
      <c r="Z50" s="514">
        <f t="shared" si="6"/>
        <v>749.3</v>
      </c>
      <c r="AA50" s="638"/>
      <c r="AB50" s="649">
        <v>144.6</v>
      </c>
      <c r="AC50" s="649" t="s">
        <v>595</v>
      </c>
      <c r="AD50" s="644">
        <f t="shared" si="7"/>
        <v>893.9</v>
      </c>
      <c r="AE50" s="645"/>
      <c r="AF50" s="650"/>
      <c r="AG50" s="644">
        <f t="shared" si="8"/>
        <v>893.9</v>
      </c>
      <c r="AH50" s="29"/>
      <c r="AI50" s="29"/>
      <c r="AJ50" s="29"/>
      <c r="AK50" s="29"/>
      <c r="AL50" s="29"/>
      <c r="AM50" s="29"/>
      <c r="AN50" s="29"/>
    </row>
    <row r="51" spans="1:40" ht="26.25" customHeight="1" x14ac:dyDescent="0.25">
      <c r="A51" s="363" t="s">
        <v>596</v>
      </c>
      <c r="B51" s="637" t="s">
        <v>597</v>
      </c>
      <c r="C51" s="92">
        <v>78.599999999999994</v>
      </c>
      <c r="D51" s="92">
        <v>55.3</v>
      </c>
      <c r="E51" s="92"/>
      <c r="F51" s="92">
        <v>23.3</v>
      </c>
      <c r="G51" s="638"/>
      <c r="H51" s="638"/>
      <c r="I51" s="638"/>
      <c r="J51" s="638"/>
      <c r="K51" s="596" t="s">
        <v>598</v>
      </c>
      <c r="L51" s="638"/>
      <c r="M51" s="672">
        <f>72.1-9</f>
        <v>63.099999999999994</v>
      </c>
      <c r="N51" s="640"/>
      <c r="O51" s="639"/>
      <c r="P51" s="641"/>
      <c r="Q51" s="642"/>
      <c r="R51" s="642"/>
      <c r="S51" s="642"/>
      <c r="T51" s="642"/>
      <c r="U51" s="512">
        <f t="shared" si="5"/>
        <v>0</v>
      </c>
      <c r="V51" s="638"/>
      <c r="W51" s="647"/>
      <c r="X51" s="638"/>
      <c r="Y51" s="638"/>
      <c r="Z51" s="514">
        <f t="shared" si="6"/>
        <v>63.099999999999994</v>
      </c>
      <c r="AA51" s="638"/>
      <c r="AB51" s="649">
        <f>8.2+9</f>
        <v>17.2</v>
      </c>
      <c r="AC51" s="597" t="s">
        <v>599</v>
      </c>
      <c r="AD51" s="644">
        <f t="shared" si="7"/>
        <v>80.3</v>
      </c>
      <c r="AE51" s="645"/>
      <c r="AF51" s="650"/>
      <c r="AG51" s="644">
        <f t="shared" si="8"/>
        <v>80.3</v>
      </c>
      <c r="AH51" s="29"/>
      <c r="AI51" s="29"/>
      <c r="AJ51" s="29"/>
      <c r="AK51" s="29"/>
      <c r="AL51" s="29"/>
      <c r="AM51" s="29"/>
      <c r="AN51" s="29"/>
    </row>
    <row r="52" spans="1:40" ht="26.25" customHeight="1" x14ac:dyDescent="0.25">
      <c r="A52" s="363" t="s">
        <v>600</v>
      </c>
      <c r="B52" s="637" t="s">
        <v>601</v>
      </c>
      <c r="C52" s="92">
        <v>1476</v>
      </c>
      <c r="D52" s="92">
        <v>1180.8</v>
      </c>
      <c r="E52" s="92">
        <v>24.8</v>
      </c>
      <c r="F52" s="92">
        <f>111.3+3.2</f>
        <v>114.5</v>
      </c>
      <c r="G52" s="638"/>
      <c r="H52" s="638"/>
      <c r="I52" s="638"/>
      <c r="J52" s="638"/>
      <c r="K52" s="596" t="s">
        <v>602</v>
      </c>
      <c r="L52" s="638"/>
      <c r="M52" s="672">
        <f>1394.5+37.2-226.7</f>
        <v>1205</v>
      </c>
      <c r="N52" s="640"/>
      <c r="O52" s="639">
        <v>26.3</v>
      </c>
      <c r="P52" s="641"/>
      <c r="Q52" s="642">
        <v>155.1</v>
      </c>
      <c r="R52" s="642"/>
      <c r="S52" s="642"/>
      <c r="T52" s="642"/>
      <c r="U52" s="512">
        <f t="shared" si="5"/>
        <v>155.1</v>
      </c>
      <c r="V52" s="638"/>
      <c r="W52" s="647"/>
      <c r="X52" s="638"/>
      <c r="Y52" s="638"/>
      <c r="Z52" s="514">
        <f t="shared" si="6"/>
        <v>1386.3999999999999</v>
      </c>
      <c r="AA52" s="638"/>
      <c r="AB52" s="649">
        <v>226.7</v>
      </c>
      <c r="AC52" s="649" t="s">
        <v>603</v>
      </c>
      <c r="AD52" s="644">
        <f t="shared" si="7"/>
        <v>1613.1</v>
      </c>
      <c r="AE52" s="645"/>
      <c r="AF52" s="650"/>
      <c r="AG52" s="644">
        <f t="shared" si="8"/>
        <v>1613.1</v>
      </c>
      <c r="AH52" s="29"/>
      <c r="AI52" s="29"/>
      <c r="AJ52" s="29"/>
      <c r="AK52" s="29"/>
      <c r="AL52" s="29"/>
      <c r="AM52" s="29"/>
      <c r="AN52" s="29"/>
    </row>
    <row r="53" spans="1:40" ht="26.25" customHeight="1" x14ac:dyDescent="0.25">
      <c r="A53" s="363" t="s">
        <v>604</v>
      </c>
      <c r="B53" s="637" t="s">
        <v>605</v>
      </c>
      <c r="C53" s="92">
        <v>277.2</v>
      </c>
      <c r="D53" s="92">
        <v>178.2</v>
      </c>
      <c r="E53" s="92">
        <v>71.2</v>
      </c>
      <c r="F53" s="92">
        <f>19.3+8.5</f>
        <v>27.8</v>
      </c>
      <c r="G53" s="638"/>
      <c r="H53" s="638"/>
      <c r="I53" s="638"/>
      <c r="J53" s="638"/>
      <c r="K53" s="596" t="s">
        <v>606</v>
      </c>
      <c r="L53" s="638"/>
      <c r="M53" s="672">
        <f>194.9-30.5-1.3</f>
        <v>163.1</v>
      </c>
      <c r="N53" s="640"/>
      <c r="O53" s="639">
        <f>5+1+72.2</f>
        <v>78.2</v>
      </c>
      <c r="P53" s="641"/>
      <c r="Q53" s="642"/>
      <c r="R53" s="642"/>
      <c r="S53" s="642"/>
      <c r="T53" s="642"/>
      <c r="U53" s="512">
        <f t="shared" si="5"/>
        <v>0</v>
      </c>
      <c r="V53" s="638"/>
      <c r="W53" s="647"/>
      <c r="X53" s="638"/>
      <c r="Y53" s="638"/>
      <c r="Z53" s="514">
        <f t="shared" si="6"/>
        <v>241.3</v>
      </c>
      <c r="AA53" s="638"/>
      <c r="AB53" s="649">
        <f>30.5+1.3</f>
        <v>31.8</v>
      </c>
      <c r="AC53" s="643" t="s">
        <v>607</v>
      </c>
      <c r="AD53" s="644">
        <f t="shared" si="7"/>
        <v>273.10000000000002</v>
      </c>
      <c r="AE53" s="645"/>
      <c r="AF53" s="650"/>
      <c r="AG53" s="644">
        <f t="shared" si="8"/>
        <v>273.10000000000002</v>
      </c>
      <c r="AH53" s="29"/>
      <c r="AI53" s="29"/>
      <c r="AJ53" s="29"/>
      <c r="AK53" s="29"/>
      <c r="AL53" s="29"/>
      <c r="AM53" s="29"/>
      <c r="AN53" s="29"/>
    </row>
    <row r="54" spans="1:40" ht="26.25" customHeight="1" x14ac:dyDescent="0.25">
      <c r="A54" s="363" t="s">
        <v>608</v>
      </c>
      <c r="B54" s="637" t="s">
        <v>609</v>
      </c>
      <c r="C54" s="92">
        <v>179.2</v>
      </c>
      <c r="D54" s="92">
        <v>168</v>
      </c>
      <c r="E54" s="92"/>
      <c r="F54" s="92">
        <v>11.2</v>
      </c>
      <c r="G54" s="638"/>
      <c r="H54" s="638"/>
      <c r="I54" s="638"/>
      <c r="J54" s="638"/>
      <c r="K54" s="77" t="s">
        <v>610</v>
      </c>
      <c r="L54" s="638"/>
      <c r="M54" s="672">
        <f>204.8-32.4</f>
        <v>172.4</v>
      </c>
      <c r="N54" s="640"/>
      <c r="O54" s="639"/>
      <c r="P54" s="641"/>
      <c r="Q54" s="642"/>
      <c r="R54" s="642"/>
      <c r="S54" s="642"/>
      <c r="T54" s="642"/>
      <c r="U54" s="512">
        <f t="shared" si="5"/>
        <v>0</v>
      </c>
      <c r="V54" s="638"/>
      <c r="W54" s="647">
        <f>7.3-7.3</f>
        <v>0</v>
      </c>
      <c r="X54" s="638"/>
      <c r="Y54" s="638"/>
      <c r="Z54" s="514">
        <f t="shared" si="6"/>
        <v>172.4</v>
      </c>
      <c r="AA54" s="638"/>
      <c r="AB54" s="649">
        <v>32.4</v>
      </c>
      <c r="AC54" s="597" t="s">
        <v>611</v>
      </c>
      <c r="AD54" s="644">
        <f t="shared" si="7"/>
        <v>204.8</v>
      </c>
      <c r="AE54" s="645"/>
      <c r="AF54" s="650"/>
      <c r="AG54" s="644">
        <f t="shared" si="8"/>
        <v>204.8</v>
      </c>
      <c r="AH54" s="29"/>
      <c r="AI54" s="29"/>
      <c r="AJ54" s="29"/>
      <c r="AK54" s="29"/>
      <c r="AL54" s="29"/>
      <c r="AM54" s="29"/>
      <c r="AN54" s="29"/>
    </row>
    <row r="55" spans="1:40" ht="26.25" customHeight="1" x14ac:dyDescent="0.25">
      <c r="A55" s="363" t="s">
        <v>612</v>
      </c>
      <c r="B55" s="637" t="s">
        <v>613</v>
      </c>
      <c r="C55" s="92">
        <v>100.9</v>
      </c>
      <c r="D55" s="92">
        <v>95.2</v>
      </c>
      <c r="E55" s="92"/>
      <c r="F55" s="92">
        <v>5.7</v>
      </c>
      <c r="G55" s="638"/>
      <c r="H55" s="638"/>
      <c r="I55" s="638"/>
      <c r="J55" s="638"/>
      <c r="K55" s="596" t="s">
        <v>614</v>
      </c>
      <c r="L55" s="638"/>
      <c r="M55" s="672">
        <f>97.8-12.4-3.7</f>
        <v>81.699999999999989</v>
      </c>
      <c r="N55" s="640"/>
      <c r="O55" s="639"/>
      <c r="P55" s="641"/>
      <c r="Q55" s="642"/>
      <c r="R55" s="642"/>
      <c r="S55" s="642"/>
      <c r="T55" s="642"/>
      <c r="U55" s="512">
        <f t="shared" si="5"/>
        <v>0</v>
      </c>
      <c r="V55" s="638"/>
      <c r="W55" s="647">
        <f>2.9-2.9</f>
        <v>0</v>
      </c>
      <c r="X55" s="638"/>
      <c r="Y55" s="638"/>
      <c r="Z55" s="514">
        <f t="shared" si="6"/>
        <v>81.699999999999989</v>
      </c>
      <c r="AA55" s="638"/>
      <c r="AB55" s="649">
        <f>13.9+12.4+3.7</f>
        <v>30</v>
      </c>
      <c r="AC55" s="597" t="s">
        <v>615</v>
      </c>
      <c r="AD55" s="644">
        <f t="shared" si="7"/>
        <v>111.69999999999999</v>
      </c>
      <c r="AE55" s="645"/>
      <c r="AF55" s="650"/>
      <c r="AG55" s="644">
        <f t="shared" si="8"/>
        <v>111.69999999999999</v>
      </c>
      <c r="AH55" s="29"/>
      <c r="AI55" s="29"/>
      <c r="AJ55" s="29"/>
      <c r="AK55" s="29"/>
      <c r="AL55" s="29"/>
      <c r="AM55" s="29"/>
      <c r="AN55" s="29"/>
    </row>
    <row r="56" spans="1:40" ht="26.25" customHeight="1" x14ac:dyDescent="0.25">
      <c r="A56" s="363" t="s">
        <v>616</v>
      </c>
      <c r="B56" s="637" t="s">
        <v>617</v>
      </c>
      <c r="C56" s="92">
        <v>98.9</v>
      </c>
      <c r="D56" s="92">
        <v>34.200000000000003</v>
      </c>
      <c r="E56" s="92"/>
      <c r="F56" s="92">
        <v>3.3</v>
      </c>
      <c r="G56" s="638"/>
      <c r="H56" s="638"/>
      <c r="I56" s="638"/>
      <c r="J56" s="638"/>
      <c r="K56" s="673" t="s">
        <v>618</v>
      </c>
      <c r="L56" s="638"/>
      <c r="M56" s="639">
        <f>28.2-4.6+5</f>
        <v>28.6</v>
      </c>
      <c r="N56" s="640"/>
      <c r="O56" s="639"/>
      <c r="P56" s="641"/>
      <c r="Q56" s="642">
        <v>61.2</v>
      </c>
      <c r="R56" s="642"/>
      <c r="S56" s="642"/>
      <c r="T56" s="642"/>
      <c r="U56" s="512">
        <f t="shared" si="5"/>
        <v>61.2</v>
      </c>
      <c r="V56" s="638"/>
      <c r="W56" s="647">
        <f>1.6-1.6</f>
        <v>0</v>
      </c>
      <c r="X56" s="638"/>
      <c r="Y56" s="638"/>
      <c r="Z56" s="514">
        <f t="shared" si="6"/>
        <v>89.800000000000011</v>
      </c>
      <c r="AA56" s="638"/>
      <c r="AB56" s="649">
        <f>10.5+4.6-5</f>
        <v>10.1</v>
      </c>
      <c r="AC56" s="597" t="s">
        <v>619</v>
      </c>
      <c r="AD56" s="644">
        <f t="shared" si="7"/>
        <v>99.9</v>
      </c>
      <c r="AE56" s="645"/>
      <c r="AF56" s="650"/>
      <c r="AG56" s="644">
        <f t="shared" si="8"/>
        <v>99.9</v>
      </c>
      <c r="AH56" s="29"/>
      <c r="AI56" s="29"/>
      <c r="AJ56" s="29"/>
      <c r="AK56" s="29"/>
      <c r="AL56" s="29"/>
      <c r="AM56" s="29"/>
      <c r="AN56" s="29"/>
    </row>
    <row r="57" spans="1:40" ht="26.25" customHeight="1" x14ac:dyDescent="0.25">
      <c r="A57" s="363" t="s">
        <v>620</v>
      </c>
      <c r="B57" s="637" t="s">
        <v>621</v>
      </c>
      <c r="C57" s="92">
        <v>635.6</v>
      </c>
      <c r="D57" s="92">
        <v>108.1</v>
      </c>
      <c r="E57" s="92">
        <v>19</v>
      </c>
      <c r="F57" s="92">
        <f>178.5+10</f>
        <v>188.5</v>
      </c>
      <c r="G57" s="638"/>
      <c r="H57" s="638"/>
      <c r="I57" s="638"/>
      <c r="J57" s="638"/>
      <c r="K57" s="596" t="s">
        <v>622</v>
      </c>
      <c r="L57" s="638"/>
      <c r="M57" s="639">
        <f>135.1-11.7-1.2+65</f>
        <v>187.2</v>
      </c>
      <c r="N57" s="640"/>
      <c r="O57" s="639">
        <v>20</v>
      </c>
      <c r="P57" s="641"/>
      <c r="Q57" s="642">
        <v>315.3</v>
      </c>
      <c r="R57" s="642"/>
      <c r="S57" s="642"/>
      <c r="T57" s="642"/>
      <c r="U57" s="512">
        <f t="shared" si="5"/>
        <v>315.3</v>
      </c>
      <c r="V57" s="638"/>
      <c r="W57" s="647"/>
      <c r="X57" s="638"/>
      <c r="Y57" s="638"/>
      <c r="Z57" s="514">
        <f t="shared" si="6"/>
        <v>522.5</v>
      </c>
      <c r="AA57" s="638"/>
      <c r="AB57" s="649">
        <f>95.7+11.7+1.2-65</f>
        <v>43.600000000000009</v>
      </c>
      <c r="AC57" s="643" t="s">
        <v>623</v>
      </c>
      <c r="AD57" s="644">
        <f t="shared" si="7"/>
        <v>566.1</v>
      </c>
      <c r="AE57" s="645"/>
      <c r="AF57" s="650"/>
      <c r="AG57" s="644">
        <f t="shared" si="8"/>
        <v>566.1</v>
      </c>
      <c r="AH57" s="29"/>
      <c r="AI57" s="29"/>
      <c r="AJ57" s="29"/>
      <c r="AK57" s="29"/>
      <c r="AL57" s="29"/>
      <c r="AM57" s="29"/>
      <c r="AN57" s="29"/>
    </row>
    <row r="58" spans="1:40" ht="26.25" customHeight="1" x14ac:dyDescent="0.25">
      <c r="A58" s="363" t="s">
        <v>624</v>
      </c>
      <c r="B58" s="637" t="s">
        <v>625</v>
      </c>
      <c r="C58" s="92">
        <v>4019.6</v>
      </c>
      <c r="D58" s="92">
        <v>1031.4000000000001</v>
      </c>
      <c r="E58" s="92"/>
      <c r="F58" s="92">
        <v>135.19999999999999</v>
      </c>
      <c r="G58" s="638"/>
      <c r="H58" s="638"/>
      <c r="I58" s="638"/>
      <c r="J58" s="638"/>
      <c r="K58" s="77" t="s">
        <v>626</v>
      </c>
      <c r="L58" s="638"/>
      <c r="M58" s="672">
        <f>1197.9-191.6</f>
        <v>1006.3000000000001</v>
      </c>
      <c r="N58" s="640"/>
      <c r="O58" s="639"/>
      <c r="P58" s="641"/>
      <c r="Q58" s="642">
        <v>2912.8</v>
      </c>
      <c r="R58" s="642"/>
      <c r="S58" s="642"/>
      <c r="T58" s="642"/>
      <c r="U58" s="512">
        <f t="shared" si="5"/>
        <v>2912.8</v>
      </c>
      <c r="V58" s="638"/>
      <c r="W58" s="647">
        <f>59.7-59.7</f>
        <v>0</v>
      </c>
      <c r="X58" s="638"/>
      <c r="Y58" s="638"/>
      <c r="Z58" s="514">
        <f t="shared" si="6"/>
        <v>3919.1000000000004</v>
      </c>
      <c r="AA58" s="638"/>
      <c r="AB58" s="649">
        <v>191.6</v>
      </c>
      <c r="AC58" s="649" t="s">
        <v>627</v>
      </c>
      <c r="AD58" s="644">
        <f t="shared" si="7"/>
        <v>4110.7000000000007</v>
      </c>
      <c r="AE58" s="645"/>
      <c r="AF58" s="650"/>
      <c r="AG58" s="644">
        <f t="shared" si="8"/>
        <v>4110.7000000000007</v>
      </c>
      <c r="AH58" s="29"/>
      <c r="AI58" s="29"/>
      <c r="AJ58" s="29"/>
      <c r="AK58" s="29"/>
      <c r="AL58" s="29"/>
      <c r="AM58" s="29"/>
      <c r="AN58" s="29"/>
    </row>
    <row r="59" spans="1:40" ht="26.25" customHeight="1" x14ac:dyDescent="0.25">
      <c r="A59" s="363" t="s">
        <v>628</v>
      </c>
      <c r="B59" s="637" t="s">
        <v>629</v>
      </c>
      <c r="C59" s="92">
        <v>172.5</v>
      </c>
      <c r="D59" s="92"/>
      <c r="E59" s="92"/>
      <c r="F59" s="92"/>
      <c r="G59" s="638"/>
      <c r="H59" s="638"/>
      <c r="I59" s="638"/>
      <c r="J59" s="638"/>
      <c r="K59" s="648"/>
      <c r="L59" s="638"/>
      <c r="M59" s="642"/>
      <c r="N59" s="640"/>
      <c r="O59" s="639"/>
      <c r="P59" s="641"/>
      <c r="Q59" s="642">
        <v>170.5</v>
      </c>
      <c r="R59" s="642"/>
      <c r="S59" s="642"/>
      <c r="T59" s="642"/>
      <c r="U59" s="512">
        <f t="shared" si="5"/>
        <v>170.5</v>
      </c>
      <c r="V59" s="638"/>
      <c r="W59" s="651"/>
      <c r="X59" s="638"/>
      <c r="Y59" s="638"/>
      <c r="Z59" s="514">
        <f t="shared" si="6"/>
        <v>170.5</v>
      </c>
      <c r="AA59" s="638"/>
      <c r="AB59" s="649"/>
      <c r="AC59" s="649"/>
      <c r="AD59" s="644">
        <f t="shared" si="7"/>
        <v>170.5</v>
      </c>
      <c r="AE59" s="645"/>
      <c r="AF59" s="650"/>
      <c r="AG59" s="644">
        <f t="shared" si="8"/>
        <v>170.5</v>
      </c>
      <c r="AH59" s="29"/>
      <c r="AI59" s="29"/>
      <c r="AJ59" s="29"/>
      <c r="AK59" s="29"/>
      <c r="AL59" s="29"/>
      <c r="AM59" s="29"/>
      <c r="AN59" s="29"/>
    </row>
    <row r="60" spans="1:40" ht="26.25" hidden="1" customHeight="1" x14ac:dyDescent="0.25">
      <c r="A60" s="363" t="s">
        <v>630</v>
      </c>
      <c r="B60" s="637" t="s">
        <v>631</v>
      </c>
      <c r="C60" s="92">
        <v>0</v>
      </c>
      <c r="D60" s="92"/>
      <c r="E60" s="92"/>
      <c r="F60" s="92"/>
      <c r="G60" s="638"/>
      <c r="H60" s="638"/>
      <c r="I60" s="638"/>
      <c r="J60" s="638"/>
      <c r="K60" s="648"/>
      <c r="L60" s="638"/>
      <c r="M60" s="642"/>
      <c r="N60" s="640"/>
      <c r="O60" s="639"/>
      <c r="P60" s="641"/>
      <c r="Q60" s="642"/>
      <c r="R60" s="642"/>
      <c r="S60" s="642"/>
      <c r="T60" s="642"/>
      <c r="U60" s="512">
        <f t="shared" si="5"/>
        <v>0</v>
      </c>
      <c r="V60" s="638"/>
      <c r="W60" s="651"/>
      <c r="X60" s="638"/>
      <c r="Y60" s="638"/>
      <c r="Z60" s="514">
        <f t="shared" si="6"/>
        <v>0</v>
      </c>
      <c r="AA60" s="638"/>
      <c r="AB60" s="649"/>
      <c r="AC60" s="649"/>
      <c r="AD60" s="644">
        <f t="shared" si="7"/>
        <v>0</v>
      </c>
      <c r="AE60" s="645"/>
      <c r="AF60" s="650"/>
      <c r="AG60" s="644">
        <f t="shared" si="8"/>
        <v>0</v>
      </c>
      <c r="AH60" s="29"/>
      <c r="AI60" s="29"/>
      <c r="AJ60" s="29"/>
      <c r="AK60" s="29"/>
      <c r="AL60" s="29"/>
      <c r="AM60" s="29"/>
      <c r="AN60" s="29"/>
    </row>
    <row r="61" spans="1:40" ht="26.25" hidden="1" customHeight="1" x14ac:dyDescent="0.25">
      <c r="A61" s="363" t="s">
        <v>632</v>
      </c>
      <c r="B61" s="637" t="s">
        <v>633</v>
      </c>
      <c r="C61" s="92">
        <v>0</v>
      </c>
      <c r="D61" s="92"/>
      <c r="E61" s="92"/>
      <c r="F61" s="92"/>
      <c r="G61" s="638"/>
      <c r="H61" s="638"/>
      <c r="I61" s="638"/>
      <c r="J61" s="638"/>
      <c r="K61" s="648"/>
      <c r="L61" s="638"/>
      <c r="M61" s="642">
        <v>0</v>
      </c>
      <c r="N61" s="640"/>
      <c r="O61" s="639"/>
      <c r="P61" s="641"/>
      <c r="Q61" s="642"/>
      <c r="R61" s="642"/>
      <c r="S61" s="642"/>
      <c r="T61" s="642"/>
      <c r="U61" s="512">
        <f t="shared" si="5"/>
        <v>0</v>
      </c>
      <c r="V61" s="638"/>
      <c r="W61" s="651"/>
      <c r="X61" s="638"/>
      <c r="Y61" s="638"/>
      <c r="Z61" s="514">
        <f t="shared" si="6"/>
        <v>0</v>
      </c>
      <c r="AA61" s="638"/>
      <c r="AB61" s="649">
        <v>10</v>
      </c>
      <c r="AC61" s="643" t="s">
        <v>634</v>
      </c>
      <c r="AD61" s="644">
        <f t="shared" si="7"/>
        <v>10</v>
      </c>
      <c r="AE61" s="645"/>
      <c r="AF61" s="650"/>
      <c r="AG61" s="644">
        <f t="shared" si="8"/>
        <v>10</v>
      </c>
      <c r="AH61" s="29"/>
      <c r="AI61" s="29"/>
      <c r="AJ61" s="29"/>
      <c r="AK61" s="29"/>
      <c r="AL61" s="29"/>
      <c r="AM61" s="29"/>
      <c r="AN61" s="29"/>
    </row>
    <row r="62" spans="1:40" ht="26.25" hidden="1" customHeight="1" x14ac:dyDescent="0.25">
      <c r="A62" s="363" t="s">
        <v>635</v>
      </c>
      <c r="B62" s="637" t="s">
        <v>636</v>
      </c>
      <c r="C62" s="92">
        <v>140.80000000000001</v>
      </c>
      <c r="D62" s="92"/>
      <c r="E62" s="92"/>
      <c r="F62" s="92">
        <v>3.6</v>
      </c>
      <c r="G62" s="638"/>
      <c r="H62" s="638"/>
      <c r="I62" s="638"/>
      <c r="J62" s="638"/>
      <c r="K62" s="648"/>
      <c r="L62" s="638"/>
      <c r="M62" s="642"/>
      <c r="N62" s="640"/>
      <c r="O62" s="639"/>
      <c r="P62" s="641"/>
      <c r="Q62" s="642"/>
      <c r="R62" s="642"/>
      <c r="S62" s="642"/>
      <c r="T62" s="674"/>
      <c r="U62" s="512">
        <f t="shared" si="5"/>
        <v>0</v>
      </c>
      <c r="V62" s="638"/>
      <c r="W62" s="651"/>
      <c r="X62" s="638"/>
      <c r="Y62" s="638"/>
      <c r="Z62" s="514">
        <f t="shared" si="6"/>
        <v>0</v>
      </c>
      <c r="AA62" s="638"/>
      <c r="AB62" s="649"/>
      <c r="AC62" s="643"/>
      <c r="AD62" s="644">
        <f t="shared" si="7"/>
        <v>0</v>
      </c>
      <c r="AE62" s="645"/>
      <c r="AF62" s="650"/>
      <c r="AG62" s="644">
        <f t="shared" si="8"/>
        <v>0</v>
      </c>
      <c r="AH62" s="29"/>
      <c r="AI62" s="29"/>
      <c r="AJ62" s="29"/>
      <c r="AK62" s="29"/>
      <c r="AL62" s="29"/>
      <c r="AM62" s="29"/>
      <c r="AN62" s="29"/>
    </row>
    <row r="63" spans="1:40" ht="26.25" customHeight="1" x14ac:dyDescent="0.25">
      <c r="A63" s="363" t="s">
        <v>637</v>
      </c>
      <c r="B63" s="637" t="s">
        <v>638</v>
      </c>
      <c r="C63" s="92"/>
      <c r="D63" s="92"/>
      <c r="E63" s="92"/>
      <c r="F63" s="92"/>
      <c r="G63" s="638"/>
      <c r="H63" s="638"/>
      <c r="I63" s="638"/>
      <c r="J63" s="638"/>
      <c r="K63" s="648"/>
      <c r="L63" s="638"/>
      <c r="M63" s="642"/>
      <c r="N63" s="640"/>
      <c r="O63" s="639"/>
      <c r="P63" s="641"/>
      <c r="Q63" s="642"/>
      <c r="R63" s="642"/>
      <c r="S63" s="642"/>
      <c r="T63" s="675">
        <f>2081.9+374.7</f>
        <v>2456.6</v>
      </c>
      <c r="U63" s="512">
        <f t="shared" si="5"/>
        <v>2456.6</v>
      </c>
      <c r="V63" s="638"/>
      <c r="W63" s="651"/>
      <c r="X63" s="638"/>
      <c r="Y63" s="638"/>
      <c r="Z63" s="514">
        <f t="shared" si="6"/>
        <v>2456.6</v>
      </c>
      <c r="AA63" s="638"/>
      <c r="AB63" s="649"/>
      <c r="AC63" s="643"/>
      <c r="AD63" s="644">
        <f t="shared" si="7"/>
        <v>2456.6</v>
      </c>
      <c r="AE63" s="645"/>
      <c r="AF63" s="650"/>
      <c r="AG63" s="644">
        <f t="shared" si="8"/>
        <v>2456.6</v>
      </c>
      <c r="AH63" s="29"/>
      <c r="AI63" s="29"/>
      <c r="AJ63" s="29"/>
      <c r="AK63" s="29"/>
      <c r="AL63" s="29"/>
      <c r="AM63" s="29"/>
      <c r="AN63" s="29"/>
    </row>
    <row r="64" spans="1:40" ht="26.25" customHeight="1" x14ac:dyDescent="0.25">
      <c r="A64" s="363" t="s">
        <v>639</v>
      </c>
      <c r="B64" s="637" t="s">
        <v>640</v>
      </c>
      <c r="C64" s="92"/>
      <c r="D64" s="92"/>
      <c r="E64" s="92"/>
      <c r="F64" s="92"/>
      <c r="G64" s="638"/>
      <c r="H64" s="638"/>
      <c r="I64" s="638"/>
      <c r="J64" s="638"/>
      <c r="K64" s="648"/>
      <c r="L64" s="638"/>
      <c r="M64" s="642"/>
      <c r="N64" s="640"/>
      <c r="O64" s="639"/>
      <c r="P64" s="641"/>
      <c r="Q64" s="642"/>
      <c r="R64" s="642"/>
      <c r="S64" s="642"/>
      <c r="T64" s="674">
        <f>245.6+51.8</f>
        <v>297.39999999999998</v>
      </c>
      <c r="U64" s="512">
        <f t="shared" si="5"/>
        <v>297.39999999999998</v>
      </c>
      <c r="V64" s="638"/>
      <c r="W64" s="651"/>
      <c r="X64" s="638"/>
      <c r="Y64" s="638"/>
      <c r="Z64" s="514">
        <f t="shared" si="6"/>
        <v>297.39999999999998</v>
      </c>
      <c r="AA64" s="638"/>
      <c r="AB64" s="649"/>
      <c r="AC64" s="643"/>
      <c r="AD64" s="644">
        <f t="shared" si="7"/>
        <v>297.39999999999998</v>
      </c>
      <c r="AE64" s="645"/>
      <c r="AF64" s="650"/>
      <c r="AG64" s="644">
        <f t="shared" si="8"/>
        <v>297.39999999999998</v>
      </c>
      <c r="AH64" s="29"/>
      <c r="AI64" s="29"/>
      <c r="AJ64" s="29"/>
      <c r="AK64" s="29"/>
      <c r="AL64" s="29"/>
      <c r="AM64" s="29"/>
      <c r="AN64" s="29"/>
    </row>
    <row r="65" spans="1:40" s="9" customFormat="1" ht="26.25" customHeight="1" x14ac:dyDescent="0.25">
      <c r="A65" s="495" t="s">
        <v>641</v>
      </c>
      <c r="B65" s="656" t="s">
        <v>642</v>
      </c>
      <c r="C65" s="676">
        <f>C66+C67+C68+C70+C71+C72+C73</f>
        <v>201.4</v>
      </c>
      <c r="D65" s="657">
        <f t="shared" ref="D65:F65" si="18">D66+D67+D68+D70+D71+D72+D73</f>
        <v>33.700000000000003</v>
      </c>
      <c r="E65" s="657">
        <f t="shared" si="18"/>
        <v>0</v>
      </c>
      <c r="F65" s="657">
        <f t="shared" si="18"/>
        <v>110</v>
      </c>
      <c r="G65" s="657">
        <f>G66+G67+G68+G70+G71+G72+G73+G74</f>
        <v>0</v>
      </c>
      <c r="H65" s="657">
        <f t="shared" ref="H65:AF65" si="19">H66+H67+H68+H70+H71+H72+H73+H74</f>
        <v>0</v>
      </c>
      <c r="I65" s="657">
        <f t="shared" si="19"/>
        <v>0</v>
      </c>
      <c r="J65" s="657">
        <f t="shared" si="19"/>
        <v>0</v>
      </c>
      <c r="K65" s="657"/>
      <c r="L65" s="657">
        <f t="shared" si="19"/>
        <v>0</v>
      </c>
      <c r="M65" s="657">
        <f>M66+M67+M68+M70+M71+M72+M73+M74+M69</f>
        <v>154.69999999999999</v>
      </c>
      <c r="N65" s="660">
        <f t="shared" ref="N65:T65" si="20">N66+N67+N68+N70+N71+N72+N73+N74+N69</f>
        <v>115</v>
      </c>
      <c r="O65" s="657">
        <f t="shared" si="20"/>
        <v>0</v>
      </c>
      <c r="P65" s="657">
        <f t="shared" si="20"/>
        <v>0</v>
      </c>
      <c r="Q65" s="657">
        <f t="shared" si="20"/>
        <v>0</v>
      </c>
      <c r="R65" s="657">
        <f t="shared" si="20"/>
        <v>21.7</v>
      </c>
      <c r="S65" s="657">
        <f t="shared" si="20"/>
        <v>36</v>
      </c>
      <c r="T65" s="657">
        <f t="shared" si="20"/>
        <v>0</v>
      </c>
      <c r="U65" s="676">
        <f>U66+U67+U68+U70+U71+U72+U73+U74+U69</f>
        <v>57.7</v>
      </c>
      <c r="V65" s="676">
        <f t="shared" ref="V65:W65" si="21">V66+V67+V68+V70+V71+V72+V73+V74+V69</f>
        <v>0</v>
      </c>
      <c r="W65" s="676">
        <f t="shared" si="21"/>
        <v>0</v>
      </c>
      <c r="X65" s="657">
        <f t="shared" si="19"/>
        <v>0</v>
      </c>
      <c r="Y65" s="657">
        <f t="shared" si="19"/>
        <v>0</v>
      </c>
      <c r="Z65" s="661">
        <f>Z66+Z67+Z68+Z70+Z71+Z72+Z73+Z74+Z69</f>
        <v>212.4</v>
      </c>
      <c r="AA65" s="657">
        <f t="shared" si="19"/>
        <v>0</v>
      </c>
      <c r="AB65" s="662">
        <f t="shared" si="19"/>
        <v>134.1</v>
      </c>
      <c r="AC65" s="662"/>
      <c r="AD65" s="676">
        <f>AD66+AD67+AD68+AD70+AD71+AD72+AD73+AD74+AD69</f>
        <v>346.5</v>
      </c>
      <c r="AE65" s="657">
        <f t="shared" si="19"/>
        <v>0</v>
      </c>
      <c r="AF65" s="657">
        <f t="shared" si="19"/>
        <v>0</v>
      </c>
      <c r="AG65" s="676">
        <f>AG66+AG67+AG68+AG70+AG71+AG72+AG73+AG74+AG69</f>
        <v>346.5</v>
      </c>
      <c r="AH65" s="80"/>
      <c r="AI65" s="80"/>
      <c r="AJ65" s="80"/>
      <c r="AK65" s="80"/>
      <c r="AL65" s="80"/>
      <c r="AM65" s="80"/>
      <c r="AN65" s="80"/>
    </row>
    <row r="66" spans="1:40" ht="26.25" customHeight="1" x14ac:dyDescent="0.25">
      <c r="A66" s="363" t="s">
        <v>643</v>
      </c>
      <c r="B66" s="637" t="s">
        <v>644</v>
      </c>
      <c r="C66" s="92">
        <v>13</v>
      </c>
      <c r="D66" s="92">
        <v>3</v>
      </c>
      <c r="E66" s="92"/>
      <c r="F66" s="92">
        <v>10</v>
      </c>
      <c r="G66" s="638"/>
      <c r="H66" s="638"/>
      <c r="I66" s="638"/>
      <c r="J66" s="638"/>
      <c r="K66" s="677" t="s">
        <v>645</v>
      </c>
      <c r="L66" s="638"/>
      <c r="M66" s="639">
        <v>40</v>
      </c>
      <c r="N66" s="640">
        <f t="shared" si="9"/>
        <v>37</v>
      </c>
      <c r="O66" s="639"/>
      <c r="P66" s="641"/>
      <c r="Q66" s="642"/>
      <c r="R66" s="642"/>
      <c r="S66" s="642"/>
      <c r="T66" s="642"/>
      <c r="U66" s="512">
        <f t="shared" si="5"/>
        <v>0</v>
      </c>
      <c r="V66" s="638"/>
      <c r="W66" s="651"/>
      <c r="X66" s="638"/>
      <c r="Y66" s="638"/>
      <c r="Z66" s="514">
        <f t="shared" si="6"/>
        <v>40</v>
      </c>
      <c r="AA66" s="638"/>
      <c r="AB66" s="649">
        <f>119.1-40</f>
        <v>79.099999999999994</v>
      </c>
      <c r="AC66" s="643" t="s">
        <v>646</v>
      </c>
      <c r="AD66" s="644">
        <f t="shared" si="7"/>
        <v>119.1</v>
      </c>
      <c r="AE66" s="645"/>
      <c r="AF66" s="650"/>
      <c r="AG66" s="644">
        <f t="shared" si="8"/>
        <v>119.1</v>
      </c>
      <c r="AH66" s="29"/>
      <c r="AI66" s="29"/>
      <c r="AJ66" s="29"/>
      <c r="AK66" s="29"/>
      <c r="AL66" s="29"/>
      <c r="AM66" s="29"/>
      <c r="AN66" s="29"/>
    </row>
    <row r="67" spans="1:40" ht="26.25" customHeight="1" x14ac:dyDescent="0.25">
      <c r="A67" s="363" t="s">
        <v>647</v>
      </c>
      <c r="B67" s="637" t="s">
        <v>648</v>
      </c>
      <c r="C67" s="92">
        <v>50.2</v>
      </c>
      <c r="D67" s="92">
        <v>30.2</v>
      </c>
      <c r="E67" s="92"/>
      <c r="F67" s="92">
        <v>20</v>
      </c>
      <c r="G67" s="638"/>
      <c r="H67" s="638"/>
      <c r="I67" s="638"/>
      <c r="J67" s="638"/>
      <c r="K67" s="596" t="s">
        <v>649</v>
      </c>
      <c r="L67" s="638"/>
      <c r="M67" s="642">
        <v>28.2</v>
      </c>
      <c r="N67" s="640">
        <f t="shared" si="9"/>
        <v>-2</v>
      </c>
      <c r="O67" s="639"/>
      <c r="P67" s="641"/>
      <c r="Q67" s="642"/>
      <c r="R67" s="642"/>
      <c r="S67" s="642"/>
      <c r="T67" s="642"/>
      <c r="U67" s="512">
        <f t="shared" si="5"/>
        <v>0</v>
      </c>
      <c r="V67" s="638"/>
      <c r="W67" s="651"/>
      <c r="X67" s="638"/>
      <c r="Y67" s="638"/>
      <c r="Z67" s="514">
        <f t="shared" si="6"/>
        <v>28.2</v>
      </c>
      <c r="AA67" s="638"/>
      <c r="AB67" s="649">
        <v>25</v>
      </c>
      <c r="AC67" s="597" t="s">
        <v>650</v>
      </c>
      <c r="AD67" s="644">
        <f t="shared" si="7"/>
        <v>53.2</v>
      </c>
      <c r="AE67" s="645"/>
      <c r="AF67" s="650"/>
      <c r="AG67" s="644">
        <f t="shared" si="8"/>
        <v>53.2</v>
      </c>
      <c r="AH67" s="29"/>
      <c r="AI67" s="29"/>
      <c r="AJ67" s="29"/>
      <c r="AK67" s="29"/>
      <c r="AL67" s="29"/>
      <c r="AM67" s="29"/>
      <c r="AN67" s="29"/>
    </row>
    <row r="68" spans="1:40" ht="26.25" customHeight="1" x14ac:dyDescent="0.25">
      <c r="A68" s="363" t="s">
        <v>651</v>
      </c>
      <c r="B68" s="637" t="s">
        <v>652</v>
      </c>
      <c r="C68" s="92">
        <v>21.7</v>
      </c>
      <c r="D68" s="92"/>
      <c r="E68" s="92"/>
      <c r="F68" s="92"/>
      <c r="G68" s="638"/>
      <c r="H68" s="638"/>
      <c r="I68" s="638"/>
      <c r="J68" s="638"/>
      <c r="K68" s="648"/>
      <c r="L68" s="638"/>
      <c r="M68" s="642"/>
      <c r="N68" s="640">
        <f t="shared" si="9"/>
        <v>0</v>
      </c>
      <c r="O68" s="639"/>
      <c r="P68" s="641"/>
      <c r="Q68" s="642"/>
      <c r="R68" s="642">
        <v>21.7</v>
      </c>
      <c r="S68" s="642"/>
      <c r="T68" s="642"/>
      <c r="U68" s="512">
        <f t="shared" si="5"/>
        <v>21.7</v>
      </c>
      <c r="V68" s="638"/>
      <c r="W68" s="651"/>
      <c r="X68" s="638"/>
      <c r="Y68" s="638"/>
      <c r="Z68" s="514">
        <f t="shared" si="6"/>
        <v>21.7</v>
      </c>
      <c r="AA68" s="638"/>
      <c r="AB68" s="649"/>
      <c r="AC68" s="649"/>
      <c r="AD68" s="644">
        <f t="shared" si="7"/>
        <v>21.7</v>
      </c>
      <c r="AE68" s="645"/>
      <c r="AF68" s="650"/>
      <c r="AG68" s="644">
        <f t="shared" si="8"/>
        <v>21.7</v>
      </c>
      <c r="AH68" s="29"/>
      <c r="AI68" s="29"/>
      <c r="AJ68" s="29"/>
      <c r="AK68" s="29"/>
      <c r="AL68" s="29"/>
      <c r="AM68" s="29"/>
      <c r="AN68" s="29"/>
    </row>
    <row r="69" spans="1:40" ht="26.25" customHeight="1" x14ac:dyDescent="0.25">
      <c r="A69" s="363" t="s">
        <v>653</v>
      </c>
      <c r="B69" s="637" t="s">
        <v>654</v>
      </c>
      <c r="C69" s="92"/>
      <c r="D69" s="92"/>
      <c r="E69" s="92"/>
      <c r="F69" s="92"/>
      <c r="G69" s="638"/>
      <c r="H69" s="638"/>
      <c r="I69" s="638"/>
      <c r="J69" s="638"/>
      <c r="K69" s="596" t="s">
        <v>655</v>
      </c>
      <c r="L69" s="638"/>
      <c r="M69" s="642">
        <v>6</v>
      </c>
      <c r="N69" s="640"/>
      <c r="O69" s="639"/>
      <c r="P69" s="641"/>
      <c r="Q69" s="642"/>
      <c r="R69" s="642"/>
      <c r="S69" s="642"/>
      <c r="T69" s="642"/>
      <c r="U69" s="512">
        <f t="shared" si="5"/>
        <v>0</v>
      </c>
      <c r="V69" s="638"/>
      <c r="W69" s="651"/>
      <c r="X69" s="638"/>
      <c r="Y69" s="638"/>
      <c r="Z69" s="514">
        <f t="shared" si="6"/>
        <v>6</v>
      </c>
      <c r="AA69" s="638"/>
      <c r="AB69" s="649"/>
      <c r="AC69" s="649"/>
      <c r="AD69" s="644">
        <f t="shared" si="7"/>
        <v>6</v>
      </c>
      <c r="AE69" s="645"/>
      <c r="AF69" s="650"/>
      <c r="AG69" s="644">
        <f t="shared" si="8"/>
        <v>6</v>
      </c>
      <c r="AH69" s="29"/>
      <c r="AI69" s="29"/>
      <c r="AJ69" s="29"/>
      <c r="AK69" s="29"/>
      <c r="AL69" s="29"/>
      <c r="AM69" s="29"/>
      <c r="AN69" s="29"/>
    </row>
    <row r="70" spans="1:40" ht="26.25" customHeight="1" x14ac:dyDescent="0.25">
      <c r="A70" s="363" t="s">
        <v>656</v>
      </c>
      <c r="B70" s="637" t="s">
        <v>657</v>
      </c>
      <c r="C70" s="92">
        <v>80</v>
      </c>
      <c r="D70" s="92"/>
      <c r="E70" s="92"/>
      <c r="F70" s="92">
        <v>80</v>
      </c>
      <c r="G70" s="638"/>
      <c r="H70" s="638"/>
      <c r="I70" s="638"/>
      <c r="J70" s="638"/>
      <c r="K70" s="648"/>
      <c r="L70" s="638"/>
      <c r="M70" s="642">
        <v>80</v>
      </c>
      <c r="N70" s="640">
        <f t="shared" si="9"/>
        <v>80</v>
      </c>
      <c r="O70" s="639"/>
      <c r="P70" s="641"/>
      <c r="Q70" s="642"/>
      <c r="R70" s="642"/>
      <c r="S70" s="642"/>
      <c r="T70" s="642"/>
      <c r="U70" s="512">
        <f t="shared" si="5"/>
        <v>0</v>
      </c>
      <c r="V70" s="638"/>
      <c r="W70" s="651"/>
      <c r="X70" s="638"/>
      <c r="Y70" s="638"/>
      <c r="Z70" s="514">
        <f t="shared" si="6"/>
        <v>80</v>
      </c>
      <c r="AA70" s="638"/>
      <c r="AB70" s="649">
        <v>20</v>
      </c>
      <c r="AC70" s="643"/>
      <c r="AD70" s="644">
        <f t="shared" si="7"/>
        <v>100</v>
      </c>
      <c r="AE70" s="645"/>
      <c r="AF70" s="650"/>
      <c r="AG70" s="644">
        <f t="shared" si="8"/>
        <v>100</v>
      </c>
      <c r="AH70" s="29"/>
      <c r="AI70" s="29"/>
      <c r="AJ70" s="29"/>
      <c r="AK70" s="29"/>
      <c r="AL70" s="29"/>
      <c r="AM70" s="29"/>
      <c r="AN70" s="29"/>
    </row>
    <row r="71" spans="1:40" ht="26.25" customHeight="1" x14ac:dyDescent="0.25">
      <c r="A71" s="363" t="s">
        <v>658</v>
      </c>
      <c r="B71" s="637" t="s">
        <v>659</v>
      </c>
      <c r="C71" s="92">
        <v>0.5</v>
      </c>
      <c r="D71" s="92">
        <v>0.5</v>
      </c>
      <c r="E71" s="92"/>
      <c r="F71" s="92"/>
      <c r="G71" s="638"/>
      <c r="H71" s="638"/>
      <c r="I71" s="638"/>
      <c r="J71" s="638"/>
      <c r="K71" s="678"/>
      <c r="L71" s="638"/>
      <c r="M71" s="642">
        <v>0.5</v>
      </c>
      <c r="N71" s="640">
        <f t="shared" si="9"/>
        <v>0</v>
      </c>
      <c r="O71" s="639"/>
      <c r="P71" s="641"/>
      <c r="Q71" s="642"/>
      <c r="R71" s="642"/>
      <c r="S71" s="642"/>
      <c r="T71" s="642"/>
      <c r="U71" s="512">
        <f t="shared" si="5"/>
        <v>0</v>
      </c>
      <c r="V71" s="638"/>
      <c r="W71" s="651"/>
      <c r="X71" s="638"/>
      <c r="Y71" s="638"/>
      <c r="Z71" s="514">
        <f t="shared" si="6"/>
        <v>0.5</v>
      </c>
      <c r="AA71" s="638"/>
      <c r="AB71" s="649"/>
      <c r="AC71" s="649"/>
      <c r="AD71" s="644">
        <f t="shared" si="7"/>
        <v>0.5</v>
      </c>
      <c r="AE71" s="645"/>
      <c r="AF71" s="650"/>
      <c r="AG71" s="644">
        <f t="shared" si="8"/>
        <v>0.5</v>
      </c>
      <c r="AH71" s="29"/>
      <c r="AI71" s="29"/>
      <c r="AJ71" s="29"/>
      <c r="AK71" s="29"/>
      <c r="AL71" s="29"/>
      <c r="AM71" s="29"/>
      <c r="AN71" s="29"/>
    </row>
    <row r="72" spans="1:40" ht="26.25" hidden="1" customHeight="1" x14ac:dyDescent="0.25">
      <c r="A72" s="363" t="s">
        <v>660</v>
      </c>
      <c r="B72" s="637" t="s">
        <v>661</v>
      </c>
      <c r="C72" s="92">
        <v>0</v>
      </c>
      <c r="D72" s="92">
        <v>0</v>
      </c>
      <c r="E72" s="92"/>
      <c r="F72" s="92"/>
      <c r="G72" s="638"/>
      <c r="H72" s="638"/>
      <c r="I72" s="638"/>
      <c r="J72" s="638"/>
      <c r="K72" s="648"/>
      <c r="L72" s="638"/>
      <c r="M72" s="642">
        <v>0</v>
      </c>
      <c r="N72" s="640">
        <f t="shared" si="9"/>
        <v>0</v>
      </c>
      <c r="O72" s="639"/>
      <c r="P72" s="641"/>
      <c r="Q72" s="642"/>
      <c r="R72" s="642"/>
      <c r="S72" s="642"/>
      <c r="T72" s="642"/>
      <c r="U72" s="512">
        <f t="shared" si="5"/>
        <v>0</v>
      </c>
      <c r="V72" s="638"/>
      <c r="W72" s="651"/>
      <c r="X72" s="638"/>
      <c r="Y72" s="638"/>
      <c r="Z72" s="514">
        <f t="shared" si="6"/>
        <v>0</v>
      </c>
      <c r="AA72" s="638"/>
      <c r="AB72" s="649">
        <v>10</v>
      </c>
      <c r="AC72" s="597" t="s">
        <v>662</v>
      </c>
      <c r="AD72" s="644">
        <f t="shared" si="7"/>
        <v>10</v>
      </c>
      <c r="AE72" s="645"/>
      <c r="AF72" s="650"/>
      <c r="AG72" s="644">
        <f t="shared" si="8"/>
        <v>10</v>
      </c>
      <c r="AH72" s="29"/>
      <c r="AI72" s="29"/>
      <c r="AJ72" s="29"/>
      <c r="AK72" s="29"/>
      <c r="AL72" s="29"/>
      <c r="AM72" s="29"/>
      <c r="AN72" s="29"/>
    </row>
    <row r="73" spans="1:40" ht="26.25" customHeight="1" x14ac:dyDescent="0.25">
      <c r="A73" s="363" t="s">
        <v>663</v>
      </c>
      <c r="B73" s="637" t="s">
        <v>664</v>
      </c>
      <c r="C73" s="92">
        <v>36</v>
      </c>
      <c r="D73" s="92"/>
      <c r="E73" s="92"/>
      <c r="F73" s="92"/>
      <c r="G73" s="638"/>
      <c r="H73" s="638"/>
      <c r="I73" s="638"/>
      <c r="J73" s="638"/>
      <c r="K73" s="648"/>
      <c r="L73" s="638"/>
      <c r="M73" s="642"/>
      <c r="N73" s="640">
        <f t="shared" si="9"/>
        <v>0</v>
      </c>
      <c r="O73" s="639"/>
      <c r="P73" s="641"/>
      <c r="Q73" s="642"/>
      <c r="R73" s="642"/>
      <c r="S73" s="642">
        <v>36</v>
      </c>
      <c r="T73" s="642"/>
      <c r="U73" s="512">
        <f t="shared" si="5"/>
        <v>36</v>
      </c>
      <c r="V73" s="638"/>
      <c r="W73" s="651"/>
      <c r="X73" s="638"/>
      <c r="Y73" s="638"/>
      <c r="Z73" s="514">
        <f t="shared" si="6"/>
        <v>36</v>
      </c>
      <c r="AA73" s="638"/>
      <c r="AB73" s="649"/>
      <c r="AC73" s="649"/>
      <c r="AD73" s="644">
        <f t="shared" si="7"/>
        <v>36</v>
      </c>
      <c r="AE73" s="645"/>
      <c r="AF73" s="650"/>
      <c r="AG73" s="644">
        <f t="shared" si="8"/>
        <v>36</v>
      </c>
      <c r="AH73" s="29"/>
      <c r="AI73" s="29"/>
      <c r="AJ73" s="29"/>
      <c r="AK73" s="29"/>
      <c r="AL73" s="29"/>
      <c r="AM73" s="29"/>
      <c r="AN73" s="29"/>
    </row>
    <row r="74" spans="1:40" ht="26.25" hidden="1" customHeight="1" x14ac:dyDescent="0.25">
      <c r="A74" s="363" t="s">
        <v>663</v>
      </c>
      <c r="B74" s="637" t="s">
        <v>665</v>
      </c>
      <c r="C74" s="92">
        <v>0</v>
      </c>
      <c r="D74" s="92"/>
      <c r="E74" s="92"/>
      <c r="F74" s="92"/>
      <c r="G74" s="638"/>
      <c r="H74" s="638"/>
      <c r="I74" s="638"/>
      <c r="J74" s="638"/>
      <c r="K74" s="648"/>
      <c r="L74" s="638"/>
      <c r="M74" s="642"/>
      <c r="N74" s="640"/>
      <c r="O74" s="639"/>
      <c r="P74" s="641"/>
      <c r="Q74" s="642"/>
      <c r="R74" s="642"/>
      <c r="S74" s="642"/>
      <c r="T74" s="642"/>
      <c r="U74" s="512">
        <f t="shared" si="5"/>
        <v>0</v>
      </c>
      <c r="V74" s="638"/>
      <c r="W74" s="651"/>
      <c r="X74" s="638"/>
      <c r="Y74" s="638"/>
      <c r="Z74" s="514">
        <f t="shared" si="6"/>
        <v>0</v>
      </c>
      <c r="AA74" s="638"/>
      <c r="AB74" s="649"/>
      <c r="AC74" s="649"/>
      <c r="AD74" s="644">
        <f t="shared" si="7"/>
        <v>0</v>
      </c>
      <c r="AE74" s="645"/>
      <c r="AF74" s="650"/>
      <c r="AG74" s="644">
        <f t="shared" si="8"/>
        <v>0</v>
      </c>
      <c r="AH74" s="80"/>
      <c r="AI74" s="29"/>
      <c r="AJ74" s="29"/>
      <c r="AK74" s="29"/>
      <c r="AL74" s="29"/>
      <c r="AM74" s="29"/>
      <c r="AN74" s="29"/>
    </row>
    <row r="75" spans="1:40" s="9" customFormat="1" ht="26.25" customHeight="1" x14ac:dyDescent="0.25">
      <c r="A75" s="495" t="s">
        <v>666</v>
      </c>
      <c r="B75" s="656" t="s">
        <v>667</v>
      </c>
      <c r="C75" s="657">
        <f>C76+C77+C78+C79+C80+C81</f>
        <v>319.2</v>
      </c>
      <c r="D75" s="657">
        <f t="shared" ref="D75:AG75" si="22">D76+D77+D78+D79+D80+D81</f>
        <v>305.89999999999998</v>
      </c>
      <c r="E75" s="657">
        <f t="shared" si="22"/>
        <v>0</v>
      </c>
      <c r="F75" s="657">
        <f t="shared" si="22"/>
        <v>13.3</v>
      </c>
      <c r="G75" s="657">
        <f t="shared" si="22"/>
        <v>15.7</v>
      </c>
      <c r="H75" s="657">
        <f t="shared" si="22"/>
        <v>0</v>
      </c>
      <c r="I75" s="657">
        <f t="shared" si="22"/>
        <v>0</v>
      </c>
      <c r="J75" s="657">
        <f t="shared" si="22"/>
        <v>0</v>
      </c>
      <c r="K75" s="657"/>
      <c r="L75" s="657">
        <f t="shared" si="22"/>
        <v>0</v>
      </c>
      <c r="M75" s="657">
        <f t="shared" si="22"/>
        <v>267.8</v>
      </c>
      <c r="N75" s="660">
        <f t="shared" si="22"/>
        <v>0</v>
      </c>
      <c r="O75" s="657">
        <f t="shared" si="22"/>
        <v>0</v>
      </c>
      <c r="P75" s="657">
        <f t="shared" si="22"/>
        <v>0</v>
      </c>
      <c r="Q75" s="657">
        <f t="shared" si="22"/>
        <v>0</v>
      </c>
      <c r="R75" s="657">
        <f t="shared" si="22"/>
        <v>0</v>
      </c>
      <c r="S75" s="657">
        <f t="shared" si="22"/>
        <v>0</v>
      </c>
      <c r="T75" s="657">
        <f t="shared" si="22"/>
        <v>0</v>
      </c>
      <c r="U75" s="657">
        <f t="shared" si="22"/>
        <v>0</v>
      </c>
      <c r="V75" s="657">
        <f t="shared" si="22"/>
        <v>0</v>
      </c>
      <c r="W75" s="657">
        <f t="shared" si="22"/>
        <v>0</v>
      </c>
      <c r="X75" s="657">
        <f t="shared" si="22"/>
        <v>0</v>
      </c>
      <c r="Y75" s="657">
        <f t="shared" si="22"/>
        <v>0</v>
      </c>
      <c r="Z75" s="671">
        <f t="shared" si="22"/>
        <v>267.8</v>
      </c>
      <c r="AA75" s="657">
        <f t="shared" si="22"/>
        <v>0</v>
      </c>
      <c r="AB75" s="662">
        <f t="shared" si="22"/>
        <v>0</v>
      </c>
      <c r="AC75" s="662"/>
      <c r="AD75" s="657">
        <f t="shared" si="22"/>
        <v>267.8</v>
      </c>
      <c r="AE75" s="657">
        <f t="shared" si="22"/>
        <v>0</v>
      </c>
      <c r="AF75" s="657">
        <f t="shared" si="22"/>
        <v>0</v>
      </c>
      <c r="AG75" s="657">
        <f t="shared" si="22"/>
        <v>267.8</v>
      </c>
      <c r="AH75" s="29"/>
      <c r="AI75" s="80"/>
      <c r="AJ75" s="80"/>
      <c r="AK75" s="80"/>
      <c r="AL75" s="80"/>
      <c r="AM75" s="80"/>
      <c r="AN75" s="80"/>
    </row>
    <row r="76" spans="1:40" ht="26.25" hidden="1" customHeight="1" x14ac:dyDescent="0.25">
      <c r="A76" s="363" t="s">
        <v>668</v>
      </c>
      <c r="B76" s="637" t="s">
        <v>461</v>
      </c>
      <c r="C76" s="92"/>
      <c r="D76" s="92"/>
      <c r="E76" s="92"/>
      <c r="F76" s="92"/>
      <c r="G76" s="638"/>
      <c r="H76" s="638"/>
      <c r="I76" s="638"/>
      <c r="J76" s="638"/>
      <c r="K76" s="596"/>
      <c r="L76" s="638"/>
      <c r="M76" s="672"/>
      <c r="N76" s="640"/>
      <c r="O76" s="639"/>
      <c r="P76" s="641"/>
      <c r="Q76" s="642"/>
      <c r="R76" s="642"/>
      <c r="S76" s="642"/>
      <c r="T76" s="642"/>
      <c r="U76" s="512"/>
      <c r="V76" s="638"/>
      <c r="W76" s="647"/>
      <c r="X76" s="638"/>
      <c r="Y76" s="638"/>
      <c r="Z76" s="514"/>
      <c r="AA76" s="638"/>
      <c r="AB76" s="649"/>
      <c r="AC76" s="597"/>
      <c r="AD76" s="644"/>
      <c r="AE76" s="645"/>
      <c r="AF76" s="650"/>
      <c r="AG76" s="644"/>
      <c r="AH76" s="29"/>
      <c r="AI76" s="29"/>
      <c r="AJ76" s="29"/>
      <c r="AK76" s="29"/>
      <c r="AL76" s="29"/>
      <c r="AM76" s="29"/>
      <c r="AN76" s="29"/>
    </row>
    <row r="77" spans="1:40" ht="26.25" hidden="1" customHeight="1" x14ac:dyDescent="0.25">
      <c r="A77" s="363" t="s">
        <v>669</v>
      </c>
      <c r="B77" s="637" t="s">
        <v>670</v>
      </c>
      <c r="C77" s="92">
        <v>204.8</v>
      </c>
      <c r="D77" s="92">
        <v>191.5</v>
      </c>
      <c r="E77" s="92"/>
      <c r="F77" s="92">
        <v>13.3</v>
      </c>
      <c r="G77" s="638"/>
      <c r="H77" s="638"/>
      <c r="I77" s="638"/>
      <c r="J77" s="638"/>
      <c r="K77" s="596"/>
      <c r="L77" s="638"/>
      <c r="M77" s="672"/>
      <c r="N77" s="640"/>
      <c r="O77" s="639"/>
      <c r="P77" s="641"/>
      <c r="Q77" s="642"/>
      <c r="R77" s="642"/>
      <c r="S77" s="642"/>
      <c r="T77" s="642"/>
      <c r="U77" s="512">
        <f t="shared" si="5"/>
        <v>0</v>
      </c>
      <c r="V77" s="638"/>
      <c r="W77" s="647">
        <f>8.8-8.8</f>
        <v>0</v>
      </c>
      <c r="X77" s="638"/>
      <c r="Y77" s="638"/>
      <c r="Z77" s="514">
        <f t="shared" si="6"/>
        <v>0</v>
      </c>
      <c r="AA77" s="638"/>
      <c r="AB77" s="649"/>
      <c r="AC77" s="649"/>
      <c r="AD77" s="644">
        <f t="shared" si="7"/>
        <v>0</v>
      </c>
      <c r="AE77" s="645"/>
      <c r="AF77" s="650"/>
      <c r="AG77" s="644">
        <f t="shared" si="8"/>
        <v>0</v>
      </c>
      <c r="AH77" s="29"/>
      <c r="AI77" s="29"/>
      <c r="AJ77" s="29"/>
      <c r="AK77" s="29"/>
      <c r="AL77" s="29"/>
      <c r="AM77" s="29"/>
      <c r="AN77" s="29"/>
    </row>
    <row r="78" spans="1:40" ht="26.25" hidden="1" customHeight="1" x14ac:dyDescent="0.25">
      <c r="A78" s="363" t="s">
        <v>671</v>
      </c>
      <c r="B78" s="637" t="s">
        <v>465</v>
      </c>
      <c r="C78" s="92"/>
      <c r="D78" s="92"/>
      <c r="E78" s="92"/>
      <c r="F78" s="92"/>
      <c r="G78" s="638"/>
      <c r="H78" s="638"/>
      <c r="I78" s="638"/>
      <c r="J78" s="638"/>
      <c r="K78" s="582"/>
      <c r="L78" s="638"/>
      <c r="M78" s="672"/>
      <c r="N78" s="640"/>
      <c r="O78" s="639"/>
      <c r="P78" s="641"/>
      <c r="Q78" s="642"/>
      <c r="R78" s="642"/>
      <c r="S78" s="642"/>
      <c r="T78" s="642"/>
      <c r="U78" s="512"/>
      <c r="V78" s="638"/>
      <c r="W78" s="679"/>
      <c r="X78" s="638"/>
      <c r="Y78" s="638"/>
      <c r="Z78" s="514"/>
      <c r="AA78" s="638"/>
      <c r="AB78" s="649"/>
      <c r="AC78" s="649"/>
      <c r="AD78" s="644"/>
      <c r="AE78" s="645"/>
      <c r="AF78" s="650"/>
      <c r="AG78" s="644"/>
      <c r="AH78" s="29"/>
      <c r="AI78" s="29"/>
      <c r="AJ78" s="29"/>
      <c r="AK78" s="29"/>
      <c r="AL78" s="29"/>
      <c r="AM78" s="29"/>
      <c r="AN78" s="29"/>
    </row>
    <row r="79" spans="1:40" ht="26.25" customHeight="1" x14ac:dyDescent="0.25">
      <c r="A79" s="363" t="s">
        <v>672</v>
      </c>
      <c r="B79" s="637" t="s">
        <v>673</v>
      </c>
      <c r="C79" s="92">
        <v>105</v>
      </c>
      <c r="D79" s="92">
        <v>105</v>
      </c>
      <c r="E79" s="92"/>
      <c r="F79" s="92"/>
      <c r="G79" s="638"/>
      <c r="H79" s="638"/>
      <c r="I79" s="638"/>
      <c r="J79" s="638"/>
      <c r="K79" s="680" t="s">
        <v>674</v>
      </c>
      <c r="L79" s="638"/>
      <c r="M79" s="681">
        <v>250</v>
      </c>
      <c r="N79" s="640"/>
      <c r="O79" s="639"/>
      <c r="P79" s="641"/>
      <c r="Q79" s="642"/>
      <c r="R79" s="642"/>
      <c r="S79" s="642"/>
      <c r="T79" s="642"/>
      <c r="U79" s="512">
        <f t="shared" si="5"/>
        <v>0</v>
      </c>
      <c r="V79" s="638"/>
      <c r="W79" s="651"/>
      <c r="X79" s="638"/>
      <c r="Y79" s="638"/>
      <c r="Z79" s="514">
        <f t="shared" si="6"/>
        <v>250</v>
      </c>
      <c r="AA79" s="638"/>
      <c r="AB79" s="649">
        <v>0</v>
      </c>
      <c r="AC79" s="597"/>
      <c r="AD79" s="644">
        <f t="shared" si="7"/>
        <v>250</v>
      </c>
      <c r="AE79" s="645"/>
      <c r="AF79" s="650"/>
      <c r="AG79" s="644">
        <f t="shared" si="8"/>
        <v>250</v>
      </c>
      <c r="AH79" s="29"/>
      <c r="AI79" s="29"/>
      <c r="AJ79" s="29"/>
      <c r="AK79" s="29"/>
      <c r="AL79" s="29"/>
      <c r="AM79" s="29"/>
      <c r="AN79" s="29"/>
    </row>
    <row r="80" spans="1:40" ht="26.25" customHeight="1" x14ac:dyDescent="0.25">
      <c r="A80" s="363" t="s">
        <v>675</v>
      </c>
      <c r="B80" s="637" t="s">
        <v>676</v>
      </c>
      <c r="C80" s="92">
        <v>1</v>
      </c>
      <c r="D80" s="92">
        <v>1</v>
      </c>
      <c r="E80" s="92"/>
      <c r="F80" s="92"/>
      <c r="G80" s="638"/>
      <c r="H80" s="638"/>
      <c r="I80" s="638"/>
      <c r="J80" s="638"/>
      <c r="K80" s="648"/>
      <c r="L80" s="638"/>
      <c r="M80" s="642">
        <v>1</v>
      </c>
      <c r="N80" s="640"/>
      <c r="O80" s="639"/>
      <c r="P80" s="641"/>
      <c r="Q80" s="642"/>
      <c r="R80" s="642"/>
      <c r="S80" s="642"/>
      <c r="T80" s="642"/>
      <c r="U80" s="512">
        <f t="shared" ref="U80:U99" si="23">SUM(Q80:T80)</f>
        <v>0</v>
      </c>
      <c r="V80" s="638"/>
      <c r="W80" s="651"/>
      <c r="X80" s="638"/>
      <c r="Y80" s="638"/>
      <c r="Z80" s="514">
        <f t="shared" ref="Z80:Z99" si="24">M80+O80+U80+V80+W80+X80</f>
        <v>1</v>
      </c>
      <c r="AA80" s="638"/>
      <c r="AB80" s="649"/>
      <c r="AC80" s="649"/>
      <c r="AD80" s="644">
        <f t="shared" ref="AD80:AD99" si="25">Z80+AB80</f>
        <v>1</v>
      </c>
      <c r="AE80" s="645"/>
      <c r="AF80" s="650"/>
      <c r="AG80" s="644">
        <f t="shared" ref="AG80:AG99" si="26">AD80+AE80</f>
        <v>1</v>
      </c>
      <c r="AH80" s="29"/>
      <c r="AI80" s="29"/>
      <c r="AJ80" s="29"/>
      <c r="AK80" s="29"/>
      <c r="AL80" s="29"/>
      <c r="AM80" s="29"/>
      <c r="AN80" s="29"/>
    </row>
    <row r="81" spans="1:40" ht="26.25" customHeight="1" x14ac:dyDescent="0.25">
      <c r="A81" s="363" t="s">
        <v>677</v>
      </c>
      <c r="B81" s="637" t="s">
        <v>678</v>
      </c>
      <c r="C81" s="92">
        <v>8.4</v>
      </c>
      <c r="D81" s="92">
        <v>8.4</v>
      </c>
      <c r="E81" s="92"/>
      <c r="F81" s="92"/>
      <c r="G81" s="638">
        <v>15.7</v>
      </c>
      <c r="H81" s="638"/>
      <c r="I81" s="638"/>
      <c r="J81" s="638"/>
      <c r="K81" s="77"/>
      <c r="L81" s="638"/>
      <c r="M81" s="642">
        <v>16.8</v>
      </c>
      <c r="N81" s="640"/>
      <c r="O81" s="639"/>
      <c r="P81" s="641"/>
      <c r="Q81" s="642"/>
      <c r="R81" s="642"/>
      <c r="S81" s="642"/>
      <c r="T81" s="642"/>
      <c r="U81" s="512">
        <f t="shared" si="23"/>
        <v>0</v>
      </c>
      <c r="V81" s="638"/>
      <c r="W81" s="651"/>
      <c r="X81" s="638"/>
      <c r="Y81" s="638"/>
      <c r="Z81" s="514">
        <f t="shared" si="24"/>
        <v>16.8</v>
      </c>
      <c r="AA81" s="638"/>
      <c r="AB81" s="649"/>
      <c r="AC81" s="649">
        <v>0</v>
      </c>
      <c r="AD81" s="644">
        <f t="shared" si="25"/>
        <v>16.8</v>
      </c>
      <c r="AE81" s="645"/>
      <c r="AF81" s="650"/>
      <c r="AG81" s="644">
        <f t="shared" si="26"/>
        <v>16.8</v>
      </c>
      <c r="AH81" s="80"/>
      <c r="AI81" s="29"/>
      <c r="AJ81" s="29"/>
      <c r="AK81" s="29"/>
      <c r="AL81" s="29"/>
      <c r="AM81" s="29"/>
      <c r="AN81" s="29"/>
    </row>
    <row r="82" spans="1:40" s="9" customFormat="1" ht="26.25" customHeight="1" x14ac:dyDescent="0.25">
      <c r="A82" s="489" t="s">
        <v>679</v>
      </c>
      <c r="B82" s="666" t="s">
        <v>680</v>
      </c>
      <c r="C82" s="667">
        <f>C83+C93</f>
        <v>380.70000000000005</v>
      </c>
      <c r="D82" s="667">
        <f t="shared" ref="D82:AG82" si="27">D83+D93</f>
        <v>275.40000000000003</v>
      </c>
      <c r="E82" s="667">
        <f t="shared" si="27"/>
        <v>0</v>
      </c>
      <c r="F82" s="667">
        <f t="shared" si="27"/>
        <v>105.3</v>
      </c>
      <c r="G82" s="667">
        <f t="shared" si="27"/>
        <v>0</v>
      </c>
      <c r="H82" s="667">
        <f t="shared" si="27"/>
        <v>0</v>
      </c>
      <c r="I82" s="667">
        <f t="shared" si="27"/>
        <v>0</v>
      </c>
      <c r="J82" s="667">
        <f t="shared" si="27"/>
        <v>0</v>
      </c>
      <c r="K82" s="667"/>
      <c r="L82" s="667">
        <f t="shared" si="27"/>
        <v>0</v>
      </c>
      <c r="M82" s="667">
        <f t="shared" si="27"/>
        <v>1004.7</v>
      </c>
      <c r="N82" s="668">
        <f t="shared" si="27"/>
        <v>480.4</v>
      </c>
      <c r="O82" s="667">
        <f t="shared" si="27"/>
        <v>0</v>
      </c>
      <c r="P82" s="667">
        <f t="shared" si="27"/>
        <v>0</v>
      </c>
      <c r="Q82" s="667">
        <f t="shared" si="27"/>
        <v>0</v>
      </c>
      <c r="R82" s="667">
        <f t="shared" si="27"/>
        <v>0</v>
      </c>
      <c r="S82" s="667">
        <f t="shared" si="27"/>
        <v>0</v>
      </c>
      <c r="T82" s="667">
        <f t="shared" si="27"/>
        <v>206.60000000000002</v>
      </c>
      <c r="U82" s="667">
        <f t="shared" si="27"/>
        <v>206.60000000000002</v>
      </c>
      <c r="V82" s="667">
        <f t="shared" si="27"/>
        <v>0</v>
      </c>
      <c r="W82" s="667">
        <f t="shared" si="27"/>
        <v>0</v>
      </c>
      <c r="X82" s="667">
        <f t="shared" si="27"/>
        <v>0</v>
      </c>
      <c r="Y82" s="667">
        <f t="shared" si="27"/>
        <v>0</v>
      </c>
      <c r="Z82" s="682">
        <f t="shared" si="27"/>
        <v>1211.3</v>
      </c>
      <c r="AA82" s="667">
        <f t="shared" si="27"/>
        <v>0</v>
      </c>
      <c r="AB82" s="670">
        <f t="shared" si="27"/>
        <v>121.3</v>
      </c>
      <c r="AC82" s="670"/>
      <c r="AD82" s="667">
        <f t="shared" si="27"/>
        <v>1332.6</v>
      </c>
      <c r="AE82" s="667">
        <f t="shared" si="27"/>
        <v>0</v>
      </c>
      <c r="AF82" s="667">
        <f t="shared" si="27"/>
        <v>0</v>
      </c>
      <c r="AG82" s="667">
        <f t="shared" si="27"/>
        <v>1332.6</v>
      </c>
      <c r="AH82" s="80"/>
      <c r="AI82" s="80"/>
      <c r="AJ82" s="80"/>
      <c r="AK82" s="80"/>
      <c r="AL82" s="80"/>
      <c r="AM82" s="80"/>
      <c r="AN82" s="80"/>
    </row>
    <row r="83" spans="1:40" s="9" customFormat="1" ht="26.25" customHeight="1" x14ac:dyDescent="0.25">
      <c r="A83" s="495" t="s">
        <v>681</v>
      </c>
      <c r="B83" s="656" t="s">
        <v>682</v>
      </c>
      <c r="C83" s="657">
        <f>C84+C85+C86+C87+C88+C89+C90+C91</f>
        <v>133.1</v>
      </c>
      <c r="D83" s="657">
        <f t="shared" ref="D83:L83" si="28">D84+D85+D86+D87+D88+D89+D90+D91</f>
        <v>113.10000000000001</v>
      </c>
      <c r="E83" s="657">
        <f t="shared" si="28"/>
        <v>0</v>
      </c>
      <c r="F83" s="657">
        <f t="shared" si="28"/>
        <v>20</v>
      </c>
      <c r="G83" s="657">
        <f t="shared" si="28"/>
        <v>0</v>
      </c>
      <c r="H83" s="657">
        <f t="shared" si="28"/>
        <v>0</v>
      </c>
      <c r="I83" s="657">
        <f t="shared" si="28"/>
        <v>0</v>
      </c>
      <c r="J83" s="657">
        <f t="shared" si="28"/>
        <v>0</v>
      </c>
      <c r="K83" s="657"/>
      <c r="L83" s="657">
        <f t="shared" si="28"/>
        <v>0</v>
      </c>
      <c r="M83" s="657">
        <f>M84+M85+M86+M87+M88+M89+M90+M91+M92</f>
        <v>712</v>
      </c>
      <c r="N83" s="660">
        <f t="shared" ref="N83:AB83" si="29">N84+N85+N86+N87+N88+N89+N90+N91+N92</f>
        <v>350</v>
      </c>
      <c r="O83" s="657">
        <f t="shared" si="29"/>
        <v>0</v>
      </c>
      <c r="P83" s="657">
        <f t="shared" si="29"/>
        <v>0</v>
      </c>
      <c r="Q83" s="657">
        <f t="shared" si="29"/>
        <v>0</v>
      </c>
      <c r="R83" s="657">
        <f t="shared" si="29"/>
        <v>0</v>
      </c>
      <c r="S83" s="657">
        <f t="shared" si="29"/>
        <v>0</v>
      </c>
      <c r="T83" s="657">
        <f t="shared" si="29"/>
        <v>164.8</v>
      </c>
      <c r="U83" s="657">
        <f t="shared" si="29"/>
        <v>164.8</v>
      </c>
      <c r="V83" s="657">
        <f t="shared" si="29"/>
        <v>0</v>
      </c>
      <c r="W83" s="657">
        <f t="shared" si="29"/>
        <v>0</v>
      </c>
      <c r="X83" s="657">
        <f t="shared" si="29"/>
        <v>0</v>
      </c>
      <c r="Y83" s="657">
        <f t="shared" si="29"/>
        <v>0</v>
      </c>
      <c r="Z83" s="671">
        <f t="shared" si="29"/>
        <v>876.8</v>
      </c>
      <c r="AA83" s="657">
        <f t="shared" si="29"/>
        <v>0</v>
      </c>
      <c r="AB83" s="662">
        <f t="shared" si="29"/>
        <v>20</v>
      </c>
      <c r="AC83" s="662"/>
      <c r="AD83" s="657">
        <f t="shared" ref="AD83:AE83" si="30">AD84+AD85+AD86+AD87+AD88+AD89+AD90+AD91+AD92</f>
        <v>896.8</v>
      </c>
      <c r="AE83" s="657">
        <f t="shared" si="30"/>
        <v>0</v>
      </c>
      <c r="AF83" s="657"/>
      <c r="AG83" s="657">
        <f t="shared" ref="AG83" si="31">AG84+AG85+AG86+AG87+AG88+AG89+AG90+AG91+AG92</f>
        <v>896.8</v>
      </c>
      <c r="AH83" s="29"/>
      <c r="AI83" s="80"/>
      <c r="AJ83" s="80"/>
      <c r="AK83" s="80"/>
      <c r="AL83" s="80"/>
      <c r="AM83" s="80"/>
      <c r="AN83" s="80"/>
    </row>
    <row r="84" spans="1:40" ht="26.25" customHeight="1" x14ac:dyDescent="0.25">
      <c r="A84" s="363" t="s">
        <v>683</v>
      </c>
      <c r="B84" s="637" t="s">
        <v>684</v>
      </c>
      <c r="C84" s="92">
        <v>85</v>
      </c>
      <c r="D84" s="92">
        <v>85</v>
      </c>
      <c r="E84" s="92"/>
      <c r="F84" s="92"/>
      <c r="G84" s="638"/>
      <c r="H84" s="638"/>
      <c r="I84" s="638"/>
      <c r="J84" s="638"/>
      <c r="K84" s="77" t="s">
        <v>685</v>
      </c>
      <c r="L84" s="638"/>
      <c r="M84" s="642">
        <v>85</v>
      </c>
      <c r="N84" s="640">
        <f t="shared" ref="N84:N99" si="32">M84-D84</f>
        <v>0</v>
      </c>
      <c r="O84" s="639"/>
      <c r="P84" s="641"/>
      <c r="Q84" s="642"/>
      <c r="R84" s="642"/>
      <c r="S84" s="642"/>
      <c r="T84" s="642"/>
      <c r="U84" s="512">
        <f t="shared" si="23"/>
        <v>0</v>
      </c>
      <c r="V84" s="638"/>
      <c r="W84" s="651"/>
      <c r="X84" s="638"/>
      <c r="Y84" s="638"/>
      <c r="Z84" s="514">
        <f t="shared" si="24"/>
        <v>85</v>
      </c>
      <c r="AA84" s="638"/>
      <c r="AB84" s="683"/>
      <c r="AC84" s="684"/>
      <c r="AD84" s="644">
        <f t="shared" si="25"/>
        <v>85</v>
      </c>
      <c r="AE84" s="645"/>
      <c r="AF84" s="650"/>
      <c r="AG84" s="644">
        <f t="shared" si="26"/>
        <v>85</v>
      </c>
      <c r="AH84" s="29"/>
      <c r="AI84" s="29"/>
      <c r="AJ84" s="29"/>
      <c r="AK84" s="29"/>
      <c r="AL84" s="29"/>
      <c r="AM84" s="29"/>
      <c r="AN84" s="29"/>
    </row>
    <row r="85" spans="1:40" ht="26.25" customHeight="1" x14ac:dyDescent="0.25">
      <c r="A85" s="363" t="s">
        <v>686</v>
      </c>
      <c r="B85" s="637" t="s">
        <v>687</v>
      </c>
      <c r="C85" s="92">
        <v>0</v>
      </c>
      <c r="D85" s="92"/>
      <c r="E85" s="92"/>
      <c r="F85" s="92"/>
      <c r="G85" s="638"/>
      <c r="H85" s="638"/>
      <c r="I85" s="638"/>
      <c r="J85" s="638"/>
      <c r="K85" s="77" t="s">
        <v>688</v>
      </c>
      <c r="L85" s="638"/>
      <c r="M85" s="639">
        <v>250</v>
      </c>
      <c r="N85" s="640">
        <f t="shared" si="32"/>
        <v>250</v>
      </c>
      <c r="O85" s="639"/>
      <c r="P85" s="641"/>
      <c r="Q85" s="642"/>
      <c r="R85" s="642"/>
      <c r="S85" s="642"/>
      <c r="T85" s="642"/>
      <c r="U85" s="512">
        <f t="shared" si="23"/>
        <v>0</v>
      </c>
      <c r="V85" s="638"/>
      <c r="W85" s="651"/>
      <c r="X85" s="638"/>
      <c r="Y85" s="638"/>
      <c r="Z85" s="514">
        <f t="shared" si="24"/>
        <v>250</v>
      </c>
      <c r="AA85" s="638"/>
      <c r="AB85" s="538">
        <v>0</v>
      </c>
      <c r="AC85" s="597"/>
      <c r="AD85" s="644">
        <f t="shared" si="25"/>
        <v>250</v>
      </c>
      <c r="AE85" s="645"/>
      <c r="AF85" s="650"/>
      <c r="AG85" s="644">
        <f t="shared" si="26"/>
        <v>250</v>
      </c>
      <c r="AH85" s="29"/>
      <c r="AI85" s="29"/>
      <c r="AJ85" s="29"/>
      <c r="AK85" s="29"/>
      <c r="AL85" s="29"/>
      <c r="AM85" s="29"/>
      <c r="AN85" s="29"/>
    </row>
    <row r="86" spans="1:40" ht="26.25" hidden="1" customHeight="1" x14ac:dyDescent="0.25">
      <c r="A86" s="363" t="s">
        <v>689</v>
      </c>
      <c r="B86" s="637" t="s">
        <v>690</v>
      </c>
      <c r="C86" s="92">
        <v>0</v>
      </c>
      <c r="D86" s="92"/>
      <c r="E86" s="92"/>
      <c r="F86" s="92"/>
      <c r="G86" s="638"/>
      <c r="H86" s="638"/>
      <c r="I86" s="638"/>
      <c r="J86" s="638"/>
      <c r="K86" s="648"/>
      <c r="L86" s="638"/>
      <c r="M86" s="642">
        <v>0</v>
      </c>
      <c r="N86" s="640">
        <f t="shared" si="32"/>
        <v>0</v>
      </c>
      <c r="O86" s="639"/>
      <c r="P86" s="641"/>
      <c r="Q86" s="642"/>
      <c r="R86" s="642"/>
      <c r="S86" s="642"/>
      <c r="T86" s="642"/>
      <c r="U86" s="512">
        <f t="shared" si="23"/>
        <v>0</v>
      </c>
      <c r="V86" s="638"/>
      <c r="W86" s="651"/>
      <c r="X86" s="638"/>
      <c r="Y86" s="638"/>
      <c r="Z86" s="514">
        <f t="shared" si="24"/>
        <v>0</v>
      </c>
      <c r="AA86" s="638"/>
      <c r="AB86" s="538">
        <v>20</v>
      </c>
      <c r="AC86" s="597" t="s">
        <v>691</v>
      </c>
      <c r="AD86" s="644">
        <f t="shared" si="25"/>
        <v>20</v>
      </c>
      <c r="AE86" s="645"/>
      <c r="AF86" s="650"/>
      <c r="AG86" s="644">
        <f t="shared" si="26"/>
        <v>20</v>
      </c>
      <c r="AH86" s="29"/>
      <c r="AI86" s="29"/>
      <c r="AJ86" s="29"/>
      <c r="AK86" s="29"/>
      <c r="AL86" s="29"/>
      <c r="AM86" s="29"/>
      <c r="AN86" s="29"/>
    </row>
    <row r="87" spans="1:40" ht="26.25" customHeight="1" x14ac:dyDescent="0.25">
      <c r="A87" s="363" t="s">
        <v>692</v>
      </c>
      <c r="B87" s="420" t="s">
        <v>693</v>
      </c>
      <c r="C87" s="92">
        <v>20</v>
      </c>
      <c r="D87" s="92"/>
      <c r="E87" s="92"/>
      <c r="F87" s="92">
        <v>20</v>
      </c>
      <c r="G87" s="638"/>
      <c r="H87" s="638"/>
      <c r="I87" s="638"/>
      <c r="J87" s="638"/>
      <c r="K87" s="77" t="s">
        <v>694</v>
      </c>
      <c r="L87" s="638"/>
      <c r="M87" s="639">
        <v>100</v>
      </c>
      <c r="N87" s="640">
        <f t="shared" si="32"/>
        <v>100</v>
      </c>
      <c r="O87" s="639"/>
      <c r="P87" s="641"/>
      <c r="Q87" s="642"/>
      <c r="R87" s="642"/>
      <c r="S87" s="642"/>
      <c r="T87" s="642"/>
      <c r="U87" s="512">
        <f t="shared" si="23"/>
        <v>0</v>
      </c>
      <c r="V87" s="638"/>
      <c r="W87" s="651"/>
      <c r="X87" s="638"/>
      <c r="Y87" s="638"/>
      <c r="Z87" s="514">
        <f t="shared" si="24"/>
        <v>100</v>
      </c>
      <c r="AA87" s="638"/>
      <c r="AB87" s="649"/>
      <c r="AC87" s="597"/>
      <c r="AD87" s="644">
        <f t="shared" si="25"/>
        <v>100</v>
      </c>
      <c r="AE87" s="645"/>
      <c r="AF87" s="650"/>
      <c r="AG87" s="644">
        <f t="shared" si="26"/>
        <v>100</v>
      </c>
      <c r="AH87" s="114"/>
      <c r="AI87" s="29"/>
      <c r="AJ87" s="29"/>
      <c r="AK87" s="29"/>
      <c r="AL87" s="29"/>
      <c r="AM87" s="29"/>
      <c r="AN87" s="29"/>
    </row>
    <row r="88" spans="1:40" ht="26.25" customHeight="1" x14ac:dyDescent="0.25">
      <c r="A88" s="363" t="s">
        <v>695</v>
      </c>
      <c r="B88" s="637" t="s">
        <v>696</v>
      </c>
      <c r="C88" s="92">
        <v>21</v>
      </c>
      <c r="D88" s="92">
        <v>21</v>
      </c>
      <c r="E88" s="92"/>
      <c r="F88" s="92"/>
      <c r="G88" s="638"/>
      <c r="H88" s="638"/>
      <c r="I88" s="638"/>
      <c r="J88" s="638"/>
      <c r="K88" s="677" t="s">
        <v>697</v>
      </c>
      <c r="L88" s="638"/>
      <c r="M88" s="639">
        <v>120</v>
      </c>
      <c r="N88" s="640"/>
      <c r="O88" s="639"/>
      <c r="P88" s="641"/>
      <c r="Q88" s="642"/>
      <c r="R88" s="642"/>
      <c r="S88" s="642"/>
      <c r="T88" s="642">
        <v>101</v>
      </c>
      <c r="U88" s="512">
        <f t="shared" si="23"/>
        <v>101</v>
      </c>
      <c r="V88" s="638"/>
      <c r="W88" s="651"/>
      <c r="X88" s="638"/>
      <c r="Y88" s="638"/>
      <c r="Z88" s="514">
        <f t="shared" si="24"/>
        <v>221</v>
      </c>
      <c r="AA88" s="638"/>
      <c r="AB88" s="649"/>
      <c r="AC88" s="597"/>
      <c r="AD88" s="644">
        <f t="shared" si="25"/>
        <v>221</v>
      </c>
      <c r="AE88" s="645"/>
      <c r="AF88" s="650"/>
      <c r="AG88" s="644">
        <f t="shared" si="26"/>
        <v>221</v>
      </c>
      <c r="AH88" s="114"/>
      <c r="AI88" s="29"/>
      <c r="AJ88" s="29"/>
      <c r="AK88" s="29"/>
      <c r="AL88" s="29"/>
      <c r="AM88" s="29"/>
      <c r="AN88" s="29"/>
    </row>
    <row r="89" spans="1:40" ht="26.25" customHeight="1" x14ac:dyDescent="0.25">
      <c r="A89" s="363" t="s">
        <v>698</v>
      </c>
      <c r="B89" s="637" t="s">
        <v>699</v>
      </c>
      <c r="C89" s="92">
        <v>4.2</v>
      </c>
      <c r="D89" s="92">
        <v>4.2</v>
      </c>
      <c r="E89" s="92"/>
      <c r="F89" s="92"/>
      <c r="G89" s="638"/>
      <c r="H89" s="638"/>
      <c r="I89" s="638"/>
      <c r="J89" s="638"/>
      <c r="K89" s="677" t="s">
        <v>700</v>
      </c>
      <c r="L89" s="638"/>
      <c r="M89" s="639">
        <v>50</v>
      </c>
      <c r="N89" s="640"/>
      <c r="O89" s="639"/>
      <c r="P89" s="641"/>
      <c r="Q89" s="642"/>
      <c r="R89" s="642"/>
      <c r="S89" s="642"/>
      <c r="T89" s="642"/>
      <c r="U89" s="512">
        <f t="shared" si="23"/>
        <v>0</v>
      </c>
      <c r="V89" s="638"/>
      <c r="W89" s="651"/>
      <c r="X89" s="638"/>
      <c r="Y89" s="638"/>
      <c r="Z89" s="514">
        <f t="shared" si="24"/>
        <v>50</v>
      </c>
      <c r="AA89" s="638"/>
      <c r="AB89" s="649"/>
      <c r="AC89" s="597"/>
      <c r="AD89" s="644">
        <f t="shared" si="25"/>
        <v>50</v>
      </c>
      <c r="AE89" s="645"/>
      <c r="AF89" s="650"/>
      <c r="AG89" s="644">
        <f t="shared" si="26"/>
        <v>50</v>
      </c>
      <c r="AH89" s="114"/>
      <c r="AI89" s="29"/>
      <c r="AJ89" s="29"/>
      <c r="AK89" s="29"/>
      <c r="AL89" s="29"/>
      <c r="AM89" s="29"/>
      <c r="AN89" s="29"/>
    </row>
    <row r="90" spans="1:40" ht="26.25" hidden="1" customHeight="1" x14ac:dyDescent="0.25">
      <c r="A90" s="363" t="s">
        <v>701</v>
      </c>
      <c r="B90" s="637" t="s">
        <v>702</v>
      </c>
      <c r="C90" s="92">
        <v>0.9</v>
      </c>
      <c r="D90" s="92">
        <v>0.9</v>
      </c>
      <c r="E90" s="92"/>
      <c r="F90" s="92"/>
      <c r="G90" s="638"/>
      <c r="H90" s="638"/>
      <c r="I90" s="638"/>
      <c r="J90" s="638"/>
      <c r="K90" s="648"/>
      <c r="L90" s="638"/>
      <c r="M90" s="672"/>
      <c r="N90" s="640"/>
      <c r="O90" s="639"/>
      <c r="P90" s="641"/>
      <c r="Q90" s="642"/>
      <c r="R90" s="642"/>
      <c r="S90" s="642"/>
      <c r="T90" s="642"/>
      <c r="U90" s="512">
        <f t="shared" si="23"/>
        <v>0</v>
      </c>
      <c r="V90" s="638"/>
      <c r="W90" s="651"/>
      <c r="X90" s="638"/>
      <c r="Y90" s="638"/>
      <c r="Z90" s="514">
        <f t="shared" si="24"/>
        <v>0</v>
      </c>
      <c r="AA90" s="638"/>
      <c r="AB90" s="649"/>
      <c r="AC90" s="649"/>
      <c r="AD90" s="644">
        <f t="shared" si="25"/>
        <v>0</v>
      </c>
      <c r="AE90" s="645"/>
      <c r="AF90" s="650"/>
      <c r="AG90" s="644">
        <f t="shared" si="26"/>
        <v>0</v>
      </c>
      <c r="AH90" s="114"/>
      <c r="AI90" s="29"/>
      <c r="AJ90" s="29"/>
      <c r="AK90" s="29"/>
      <c r="AL90" s="29"/>
      <c r="AM90" s="29"/>
      <c r="AN90" s="29"/>
    </row>
    <row r="91" spans="1:40" ht="26.25" customHeight="1" x14ac:dyDescent="0.25">
      <c r="A91" s="363" t="s">
        <v>703</v>
      </c>
      <c r="B91" s="637" t="s">
        <v>704</v>
      </c>
      <c r="C91" s="92">
        <v>2</v>
      </c>
      <c r="D91" s="92">
        <v>2</v>
      </c>
      <c r="E91" s="92"/>
      <c r="F91" s="92"/>
      <c r="G91" s="638"/>
      <c r="H91" s="638"/>
      <c r="I91" s="638"/>
      <c r="J91" s="638"/>
      <c r="K91" s="680" t="s">
        <v>705</v>
      </c>
      <c r="L91" s="638"/>
      <c r="M91" s="639">
        <v>75</v>
      </c>
      <c r="N91" s="640"/>
      <c r="O91" s="639"/>
      <c r="P91" s="641"/>
      <c r="Q91" s="642"/>
      <c r="R91" s="642"/>
      <c r="S91" s="642"/>
      <c r="T91" s="642">
        <v>63.8</v>
      </c>
      <c r="U91" s="512">
        <f t="shared" si="23"/>
        <v>63.8</v>
      </c>
      <c r="V91" s="638"/>
      <c r="W91" s="651"/>
      <c r="X91" s="638"/>
      <c r="Y91" s="638"/>
      <c r="Z91" s="514">
        <f t="shared" si="24"/>
        <v>138.80000000000001</v>
      </c>
      <c r="AA91" s="638"/>
      <c r="AB91" s="649"/>
      <c r="AC91" s="597"/>
      <c r="AD91" s="644">
        <f t="shared" si="25"/>
        <v>138.80000000000001</v>
      </c>
      <c r="AE91" s="645"/>
      <c r="AF91" s="650"/>
      <c r="AG91" s="644">
        <f t="shared" si="26"/>
        <v>138.80000000000001</v>
      </c>
      <c r="AH91" s="113"/>
      <c r="AI91" s="29"/>
      <c r="AJ91" s="29"/>
      <c r="AK91" s="29"/>
      <c r="AL91" s="29"/>
      <c r="AM91" s="29"/>
      <c r="AN91" s="29"/>
    </row>
    <row r="92" spans="1:40" ht="26.25" customHeight="1" x14ac:dyDescent="0.25">
      <c r="A92" s="363" t="s">
        <v>706</v>
      </c>
      <c r="B92" s="637" t="s">
        <v>707</v>
      </c>
      <c r="C92" s="92"/>
      <c r="D92" s="92"/>
      <c r="E92" s="92"/>
      <c r="F92" s="92"/>
      <c r="G92" s="638"/>
      <c r="H92" s="638"/>
      <c r="I92" s="638"/>
      <c r="J92" s="638"/>
      <c r="K92" s="596" t="s">
        <v>708</v>
      </c>
      <c r="L92" s="638"/>
      <c r="M92" s="639">
        <v>32</v>
      </c>
      <c r="N92" s="640"/>
      <c r="O92" s="639"/>
      <c r="P92" s="641"/>
      <c r="Q92" s="642"/>
      <c r="R92" s="642"/>
      <c r="S92" s="642"/>
      <c r="T92" s="642"/>
      <c r="U92" s="512">
        <f t="shared" si="23"/>
        <v>0</v>
      </c>
      <c r="V92" s="638"/>
      <c r="W92" s="651"/>
      <c r="X92" s="638"/>
      <c r="Y92" s="638"/>
      <c r="Z92" s="514">
        <f t="shared" si="24"/>
        <v>32</v>
      </c>
      <c r="AA92" s="638"/>
      <c r="AB92" s="649"/>
      <c r="AC92" s="597"/>
      <c r="AD92" s="644">
        <f t="shared" si="25"/>
        <v>32</v>
      </c>
      <c r="AE92" s="645"/>
      <c r="AF92" s="650"/>
      <c r="AG92" s="644">
        <f t="shared" si="26"/>
        <v>32</v>
      </c>
      <c r="AH92" s="113"/>
      <c r="AI92" s="29"/>
      <c r="AJ92" s="29"/>
      <c r="AK92" s="29"/>
      <c r="AL92" s="29"/>
      <c r="AM92" s="29"/>
      <c r="AN92" s="29"/>
    </row>
    <row r="93" spans="1:40" s="9" customFormat="1" ht="26.25" customHeight="1" x14ac:dyDescent="0.25">
      <c r="A93" s="495" t="s">
        <v>709</v>
      </c>
      <c r="B93" s="656" t="s">
        <v>710</v>
      </c>
      <c r="C93" s="657">
        <f>C94+C95+C96+C97+C98+C99</f>
        <v>247.60000000000002</v>
      </c>
      <c r="D93" s="657">
        <f t="shared" ref="D93:AG93" si="33">D94+D95+D96+D97+D98+D99</f>
        <v>162.30000000000001</v>
      </c>
      <c r="E93" s="657">
        <f t="shared" si="33"/>
        <v>0</v>
      </c>
      <c r="F93" s="657">
        <f t="shared" si="33"/>
        <v>85.3</v>
      </c>
      <c r="G93" s="657">
        <f t="shared" si="33"/>
        <v>0</v>
      </c>
      <c r="H93" s="657">
        <f t="shared" si="33"/>
        <v>0</v>
      </c>
      <c r="I93" s="657">
        <f t="shared" si="33"/>
        <v>0</v>
      </c>
      <c r="J93" s="657">
        <f t="shared" si="33"/>
        <v>0</v>
      </c>
      <c r="K93" s="657"/>
      <c r="L93" s="657">
        <f t="shared" si="33"/>
        <v>0</v>
      </c>
      <c r="M93" s="658">
        <f>M94+M95+M96+M97+M98+M99</f>
        <v>292.7</v>
      </c>
      <c r="N93" s="640">
        <f t="shared" si="32"/>
        <v>130.39999999999998</v>
      </c>
      <c r="O93" s="658">
        <f t="shared" si="33"/>
        <v>0</v>
      </c>
      <c r="P93" s="658">
        <f t="shared" si="33"/>
        <v>0</v>
      </c>
      <c r="Q93" s="658">
        <f t="shared" si="33"/>
        <v>0</v>
      </c>
      <c r="R93" s="658">
        <f t="shared" si="33"/>
        <v>0</v>
      </c>
      <c r="S93" s="658">
        <f t="shared" si="33"/>
        <v>0</v>
      </c>
      <c r="T93" s="658">
        <f t="shared" si="33"/>
        <v>41.8</v>
      </c>
      <c r="U93" s="512">
        <f t="shared" si="23"/>
        <v>41.8</v>
      </c>
      <c r="V93" s="657">
        <f t="shared" si="33"/>
        <v>0</v>
      </c>
      <c r="W93" s="657">
        <f t="shared" si="33"/>
        <v>0</v>
      </c>
      <c r="X93" s="657">
        <f t="shared" si="33"/>
        <v>0</v>
      </c>
      <c r="Y93" s="657">
        <f t="shared" si="33"/>
        <v>0</v>
      </c>
      <c r="Z93" s="671">
        <f t="shared" si="33"/>
        <v>334.5</v>
      </c>
      <c r="AA93" s="657">
        <f t="shared" si="33"/>
        <v>0</v>
      </c>
      <c r="AB93" s="662">
        <f t="shared" si="33"/>
        <v>101.3</v>
      </c>
      <c r="AC93" s="662"/>
      <c r="AD93" s="657">
        <f t="shared" si="33"/>
        <v>435.79999999999995</v>
      </c>
      <c r="AE93" s="657">
        <f t="shared" si="33"/>
        <v>0</v>
      </c>
      <c r="AF93" s="657">
        <f t="shared" si="33"/>
        <v>0</v>
      </c>
      <c r="AG93" s="657">
        <f t="shared" si="33"/>
        <v>435.79999999999995</v>
      </c>
      <c r="AH93" s="80"/>
      <c r="AI93" s="80"/>
      <c r="AJ93" s="80"/>
      <c r="AK93" s="80"/>
      <c r="AL93" s="80"/>
      <c r="AM93" s="80"/>
      <c r="AN93" s="80"/>
    </row>
    <row r="94" spans="1:40" ht="26.25" customHeight="1" x14ac:dyDescent="0.25">
      <c r="A94" s="363" t="s">
        <v>711</v>
      </c>
      <c r="B94" s="637" t="s">
        <v>712</v>
      </c>
      <c r="C94" s="92">
        <v>65.8</v>
      </c>
      <c r="D94" s="92">
        <v>56.8</v>
      </c>
      <c r="E94" s="92"/>
      <c r="F94" s="92">
        <v>9</v>
      </c>
      <c r="G94" s="638"/>
      <c r="H94" s="638"/>
      <c r="I94" s="638"/>
      <c r="J94" s="638"/>
      <c r="K94" s="596" t="s">
        <v>713</v>
      </c>
      <c r="L94" s="638"/>
      <c r="M94" s="665">
        <f>60.4-8.5-0.5+10</f>
        <v>61.4</v>
      </c>
      <c r="N94" s="640"/>
      <c r="O94" s="639"/>
      <c r="P94" s="641"/>
      <c r="Q94" s="642"/>
      <c r="R94" s="642"/>
      <c r="S94" s="642"/>
      <c r="T94" s="642"/>
      <c r="U94" s="512">
        <f t="shared" si="23"/>
        <v>0</v>
      </c>
      <c r="V94" s="638"/>
      <c r="W94" s="647">
        <f>7.3-7.3</f>
        <v>0</v>
      </c>
      <c r="X94" s="638"/>
      <c r="Y94" s="638"/>
      <c r="Z94" s="514">
        <f t="shared" si="24"/>
        <v>61.4</v>
      </c>
      <c r="AA94" s="638"/>
      <c r="AB94" s="649">
        <f>9.6+8.5+0.5-10</f>
        <v>8.6000000000000014</v>
      </c>
      <c r="AC94" s="597" t="s">
        <v>714</v>
      </c>
      <c r="AD94" s="644">
        <f t="shared" si="25"/>
        <v>70</v>
      </c>
      <c r="AE94" s="645"/>
      <c r="AF94" s="650"/>
      <c r="AG94" s="644">
        <f t="shared" si="26"/>
        <v>70</v>
      </c>
      <c r="AH94" s="29"/>
      <c r="AI94" s="29"/>
      <c r="AJ94" s="29"/>
      <c r="AK94" s="29"/>
      <c r="AL94" s="29"/>
      <c r="AM94" s="29"/>
      <c r="AN94" s="29"/>
    </row>
    <row r="95" spans="1:40" ht="26.25" customHeight="1" x14ac:dyDescent="0.25">
      <c r="A95" s="363" t="s">
        <v>715</v>
      </c>
      <c r="B95" s="637" t="s">
        <v>716</v>
      </c>
      <c r="C95" s="92">
        <v>15</v>
      </c>
      <c r="D95" s="92">
        <v>15</v>
      </c>
      <c r="E95" s="92"/>
      <c r="F95" s="92"/>
      <c r="G95" s="638"/>
      <c r="H95" s="638"/>
      <c r="I95" s="638"/>
      <c r="J95" s="638"/>
      <c r="K95" s="648"/>
      <c r="L95" s="638"/>
      <c r="M95" s="665">
        <v>15</v>
      </c>
      <c r="N95" s="640"/>
      <c r="O95" s="639"/>
      <c r="P95" s="641"/>
      <c r="Q95" s="642"/>
      <c r="R95" s="642"/>
      <c r="S95" s="642"/>
      <c r="T95" s="642"/>
      <c r="U95" s="512">
        <f t="shared" si="23"/>
        <v>0</v>
      </c>
      <c r="V95" s="638"/>
      <c r="W95" s="651"/>
      <c r="X95" s="638"/>
      <c r="Y95" s="638"/>
      <c r="Z95" s="514">
        <f t="shared" si="24"/>
        <v>15</v>
      </c>
      <c r="AA95" s="638"/>
      <c r="AB95" s="649">
        <v>50</v>
      </c>
      <c r="AC95" s="649"/>
      <c r="AD95" s="644">
        <f t="shared" si="25"/>
        <v>65</v>
      </c>
      <c r="AE95" s="645"/>
      <c r="AF95" s="650"/>
      <c r="AG95" s="644">
        <f t="shared" si="26"/>
        <v>65</v>
      </c>
      <c r="AH95" s="29"/>
      <c r="AI95" s="29"/>
      <c r="AJ95" s="29"/>
      <c r="AK95" s="29"/>
      <c r="AL95" s="29"/>
      <c r="AM95" s="29"/>
      <c r="AN95" s="29"/>
    </row>
    <row r="96" spans="1:40" ht="26.25" customHeight="1" x14ac:dyDescent="0.25">
      <c r="A96" s="363" t="s">
        <v>717</v>
      </c>
      <c r="B96" s="637" t="s">
        <v>718</v>
      </c>
      <c r="C96" s="92">
        <v>110.5</v>
      </c>
      <c r="D96" s="92">
        <v>90.5</v>
      </c>
      <c r="E96" s="92"/>
      <c r="F96" s="92">
        <v>20</v>
      </c>
      <c r="G96" s="638"/>
      <c r="H96" s="638"/>
      <c r="I96" s="638"/>
      <c r="J96" s="638"/>
      <c r="K96" s="596" t="s">
        <v>719</v>
      </c>
      <c r="L96" s="638"/>
      <c r="M96" s="639">
        <v>130</v>
      </c>
      <c r="N96" s="640"/>
      <c r="O96" s="639"/>
      <c r="P96" s="641"/>
      <c r="Q96" s="642"/>
      <c r="R96" s="642"/>
      <c r="S96" s="642"/>
      <c r="T96" s="642"/>
      <c r="U96" s="512">
        <f t="shared" si="23"/>
        <v>0</v>
      </c>
      <c r="V96" s="638"/>
      <c r="W96" s="651"/>
      <c r="X96" s="638"/>
      <c r="Y96" s="638"/>
      <c r="Z96" s="514">
        <f t="shared" si="24"/>
        <v>130</v>
      </c>
      <c r="AA96" s="638"/>
      <c r="AB96" s="649">
        <f>147.5-130</f>
        <v>17.5</v>
      </c>
      <c r="AC96" s="643" t="s">
        <v>720</v>
      </c>
      <c r="AD96" s="644">
        <f t="shared" si="25"/>
        <v>147.5</v>
      </c>
      <c r="AE96" s="645"/>
      <c r="AF96" s="650"/>
      <c r="AG96" s="644">
        <f t="shared" si="26"/>
        <v>147.5</v>
      </c>
      <c r="AH96" s="29"/>
      <c r="AI96" s="29"/>
      <c r="AJ96" s="29"/>
      <c r="AK96" s="29"/>
      <c r="AL96" s="29"/>
      <c r="AM96" s="29"/>
      <c r="AN96" s="29"/>
    </row>
    <row r="97" spans="1:40" ht="26.25" hidden="1" customHeight="1" x14ac:dyDescent="0.25">
      <c r="A97" s="363" t="s">
        <v>721</v>
      </c>
      <c r="B97" s="637" t="s">
        <v>722</v>
      </c>
      <c r="C97" s="92">
        <v>0</v>
      </c>
      <c r="D97" s="92"/>
      <c r="E97" s="92"/>
      <c r="F97" s="92"/>
      <c r="G97" s="638"/>
      <c r="H97" s="638"/>
      <c r="I97" s="638"/>
      <c r="J97" s="638"/>
      <c r="K97" s="648"/>
      <c r="L97" s="638"/>
      <c r="M97" s="642"/>
      <c r="N97" s="640">
        <f t="shared" si="32"/>
        <v>0</v>
      </c>
      <c r="O97" s="639"/>
      <c r="P97" s="641"/>
      <c r="Q97" s="642"/>
      <c r="R97" s="642"/>
      <c r="S97" s="642"/>
      <c r="T97" s="642"/>
      <c r="U97" s="512">
        <f t="shared" si="23"/>
        <v>0</v>
      </c>
      <c r="V97" s="638"/>
      <c r="W97" s="651"/>
      <c r="X97" s="638"/>
      <c r="Y97" s="638"/>
      <c r="Z97" s="514">
        <f t="shared" si="24"/>
        <v>0</v>
      </c>
      <c r="AA97" s="638"/>
      <c r="AB97" s="649"/>
      <c r="AC97" s="649"/>
      <c r="AD97" s="644">
        <f t="shared" si="25"/>
        <v>0</v>
      </c>
      <c r="AE97" s="645"/>
      <c r="AF97" s="650"/>
      <c r="AG97" s="644">
        <f t="shared" si="26"/>
        <v>0</v>
      </c>
      <c r="AH97" s="29"/>
      <c r="AI97" s="29"/>
      <c r="AJ97" s="29"/>
      <c r="AK97" s="29"/>
      <c r="AL97" s="29"/>
      <c r="AM97" s="29"/>
      <c r="AN97" s="29"/>
    </row>
    <row r="98" spans="1:40" ht="26.25" customHeight="1" x14ac:dyDescent="0.25">
      <c r="A98" s="363" t="s">
        <v>723</v>
      </c>
      <c r="B98" s="637" t="s">
        <v>724</v>
      </c>
      <c r="C98" s="92">
        <v>0</v>
      </c>
      <c r="D98" s="92"/>
      <c r="E98" s="92"/>
      <c r="F98" s="92"/>
      <c r="G98" s="638"/>
      <c r="H98" s="638"/>
      <c r="I98" s="638"/>
      <c r="J98" s="638"/>
      <c r="K98" s="648" t="s">
        <v>725</v>
      </c>
      <c r="L98" s="638"/>
      <c r="M98" s="642">
        <v>1</v>
      </c>
      <c r="N98" s="640">
        <f t="shared" si="32"/>
        <v>1</v>
      </c>
      <c r="O98" s="639"/>
      <c r="P98" s="641"/>
      <c r="Q98" s="642"/>
      <c r="R98" s="642"/>
      <c r="S98" s="642"/>
      <c r="T98" s="642"/>
      <c r="U98" s="512">
        <f t="shared" si="23"/>
        <v>0</v>
      </c>
      <c r="V98" s="638"/>
      <c r="W98" s="653"/>
      <c r="X98" s="638"/>
      <c r="Y98" s="638"/>
      <c r="Z98" s="514">
        <f t="shared" si="24"/>
        <v>1</v>
      </c>
      <c r="AA98" s="638"/>
      <c r="AB98" s="649">
        <v>13.7</v>
      </c>
      <c r="AC98" s="597" t="s">
        <v>726</v>
      </c>
      <c r="AD98" s="644">
        <f t="shared" si="25"/>
        <v>14.7</v>
      </c>
      <c r="AE98" s="645"/>
      <c r="AF98" s="650"/>
      <c r="AG98" s="644">
        <f t="shared" si="26"/>
        <v>14.7</v>
      </c>
      <c r="AH98" s="29"/>
      <c r="AI98" s="29"/>
      <c r="AJ98" s="29"/>
      <c r="AK98" s="29"/>
      <c r="AL98" s="29"/>
      <c r="AM98" s="29"/>
      <c r="AN98" s="29"/>
    </row>
    <row r="99" spans="1:40" ht="26.25" customHeight="1" x14ac:dyDescent="0.25">
      <c r="A99" s="363" t="s">
        <v>727</v>
      </c>
      <c r="B99" s="637" t="s">
        <v>728</v>
      </c>
      <c r="C99" s="92">
        <v>56.3</v>
      </c>
      <c r="D99" s="92"/>
      <c r="E99" s="92"/>
      <c r="F99" s="92">
        <v>56.3</v>
      </c>
      <c r="G99" s="638"/>
      <c r="H99" s="638"/>
      <c r="I99" s="638"/>
      <c r="J99" s="638"/>
      <c r="K99" s="77" t="s">
        <v>729</v>
      </c>
      <c r="L99" s="638"/>
      <c r="M99" s="642">
        <f>50.3-8.3+8.3+35</f>
        <v>85.3</v>
      </c>
      <c r="N99" s="640">
        <f t="shared" si="32"/>
        <v>85.3</v>
      </c>
      <c r="O99" s="639"/>
      <c r="P99" s="641"/>
      <c r="Q99" s="642"/>
      <c r="R99" s="642"/>
      <c r="S99" s="642"/>
      <c r="T99" s="642">
        <v>41.8</v>
      </c>
      <c r="U99" s="512">
        <f t="shared" si="23"/>
        <v>41.8</v>
      </c>
      <c r="V99" s="638"/>
      <c r="W99" s="679"/>
      <c r="X99" s="638"/>
      <c r="Y99" s="638"/>
      <c r="Z99" s="514">
        <f t="shared" si="24"/>
        <v>127.1</v>
      </c>
      <c r="AA99" s="638"/>
      <c r="AB99" s="649">
        <v>11.5</v>
      </c>
      <c r="AC99" s="597" t="s">
        <v>730</v>
      </c>
      <c r="AD99" s="644">
        <f t="shared" si="25"/>
        <v>138.6</v>
      </c>
      <c r="AE99" s="645"/>
      <c r="AF99" s="650"/>
      <c r="AG99" s="644">
        <f t="shared" si="26"/>
        <v>138.6</v>
      </c>
      <c r="AH99" s="29"/>
      <c r="AI99" s="29"/>
      <c r="AJ99" s="29"/>
      <c r="AK99" s="29"/>
      <c r="AL99" s="29"/>
      <c r="AM99" s="29"/>
      <c r="AN99" s="29"/>
    </row>
    <row r="100" spans="1:40" ht="26.25" customHeight="1" x14ac:dyDescent="0.25">
      <c r="A100" s="29"/>
      <c r="B100" s="29"/>
      <c r="C100" s="28"/>
      <c r="D100" s="28"/>
      <c r="E100" s="28"/>
      <c r="F100" s="28"/>
      <c r="G100" s="29"/>
      <c r="H100" s="29"/>
      <c r="I100" s="29"/>
      <c r="J100" s="29"/>
      <c r="K100" s="427"/>
      <c r="L100" s="29"/>
      <c r="M100" s="29"/>
      <c r="N100" s="252"/>
      <c r="O100" s="428"/>
      <c r="P100" s="685"/>
      <c r="Q100" s="29"/>
      <c r="R100" s="29"/>
      <c r="S100" s="29"/>
      <c r="T100" s="29"/>
      <c r="U100" s="29"/>
      <c r="V100" s="29"/>
      <c r="W100" s="80"/>
      <c r="X100" s="29"/>
      <c r="Y100" s="29"/>
      <c r="Z100" s="25"/>
      <c r="AA100" s="29"/>
      <c r="AB100" s="686"/>
      <c r="AC100" s="686"/>
      <c r="AD100" s="29"/>
      <c r="AE100" s="29"/>
      <c r="AF100" s="427"/>
      <c r="AG100" s="29"/>
      <c r="AH100" s="29"/>
      <c r="AI100" s="29"/>
      <c r="AJ100" s="29"/>
      <c r="AK100" s="29"/>
      <c r="AL100" s="29"/>
      <c r="AM100" s="29"/>
      <c r="AN100" s="29"/>
    </row>
    <row r="101" spans="1:40" ht="26.25" customHeight="1" x14ac:dyDescent="0.25">
      <c r="A101" s="29"/>
      <c r="B101" s="29"/>
      <c r="C101" s="28"/>
      <c r="D101" s="28"/>
      <c r="E101" s="28"/>
      <c r="F101" s="28"/>
      <c r="G101" s="29"/>
      <c r="H101" s="29"/>
      <c r="I101" s="29"/>
      <c r="J101" s="29"/>
      <c r="K101" s="427"/>
      <c r="L101" s="29"/>
      <c r="M101" s="29"/>
      <c r="N101" s="252"/>
      <c r="O101" s="428"/>
      <c r="P101" s="685"/>
      <c r="Q101" s="29"/>
      <c r="R101" s="29"/>
      <c r="S101" s="29"/>
      <c r="T101" s="29"/>
      <c r="U101" s="29"/>
      <c r="V101" s="29"/>
      <c r="W101" s="80"/>
      <c r="X101" s="29"/>
      <c r="Y101" s="29"/>
      <c r="Z101" s="25"/>
      <c r="AA101" s="29"/>
      <c r="AB101" s="686"/>
      <c r="AC101" s="686"/>
      <c r="AD101" s="29"/>
      <c r="AE101" s="29"/>
      <c r="AF101" s="427"/>
      <c r="AG101" s="29"/>
      <c r="AH101" s="29"/>
      <c r="AI101" s="29"/>
      <c r="AJ101" s="29"/>
      <c r="AK101" s="29"/>
      <c r="AL101" s="29"/>
      <c r="AM101" s="29"/>
      <c r="AN101" s="29"/>
    </row>
    <row r="102" spans="1:40" ht="26.25" customHeight="1" x14ac:dyDescent="0.25">
      <c r="A102" s="29"/>
      <c r="B102" s="29"/>
      <c r="C102" s="28"/>
      <c r="D102" s="28"/>
      <c r="E102" s="28"/>
      <c r="F102" s="28"/>
      <c r="G102" s="29"/>
      <c r="H102" s="29"/>
      <c r="I102" s="29"/>
      <c r="J102" s="29"/>
      <c r="K102" s="427"/>
      <c r="L102" s="29"/>
      <c r="M102" s="29"/>
      <c r="N102" s="252"/>
      <c r="O102" s="428"/>
      <c r="P102" s="685"/>
      <c r="Q102" s="29"/>
      <c r="R102" s="29"/>
      <c r="S102" s="29"/>
      <c r="T102" s="29"/>
      <c r="U102" s="29"/>
      <c r="V102" s="29"/>
      <c r="W102" s="80"/>
      <c r="X102" s="29"/>
      <c r="Y102" s="29"/>
      <c r="Z102" s="25"/>
      <c r="AA102" s="29"/>
      <c r="AB102" s="686"/>
      <c r="AC102" s="686"/>
      <c r="AD102" s="29"/>
      <c r="AE102" s="29"/>
      <c r="AF102" s="427"/>
      <c r="AG102" s="29"/>
      <c r="AH102" s="29"/>
      <c r="AI102" s="29"/>
      <c r="AJ102" s="29"/>
      <c r="AK102" s="29"/>
      <c r="AL102" s="29"/>
      <c r="AM102" s="29"/>
      <c r="AN102" s="29"/>
    </row>
    <row r="103" spans="1:40" ht="26.25" customHeight="1" x14ac:dyDescent="0.25">
      <c r="A103" s="29"/>
      <c r="B103" s="29"/>
      <c r="C103" s="28"/>
      <c r="D103" s="28"/>
      <c r="E103" s="28"/>
      <c r="F103" s="28"/>
      <c r="G103" s="29"/>
      <c r="H103" s="29"/>
      <c r="I103" s="29"/>
      <c r="J103" s="29"/>
      <c r="K103" s="427"/>
      <c r="L103" s="29"/>
      <c r="M103" s="29"/>
      <c r="N103" s="252"/>
      <c r="O103" s="428"/>
      <c r="P103" s="685"/>
      <c r="Q103" s="29"/>
      <c r="R103" s="29"/>
      <c r="S103" s="29"/>
      <c r="T103" s="29"/>
      <c r="U103" s="29"/>
      <c r="V103" s="29"/>
      <c r="W103" s="80"/>
      <c r="X103" s="29"/>
      <c r="Y103" s="29"/>
      <c r="Z103" s="25"/>
      <c r="AA103" s="29"/>
      <c r="AB103" s="686"/>
      <c r="AC103" s="686"/>
      <c r="AD103" s="29"/>
      <c r="AE103" s="29"/>
      <c r="AF103" s="427"/>
      <c r="AG103" s="29"/>
      <c r="AH103" s="29"/>
      <c r="AI103" s="29"/>
      <c r="AJ103" s="29"/>
      <c r="AK103" s="29"/>
      <c r="AL103" s="29"/>
      <c r="AM103" s="29"/>
      <c r="AN103" s="29"/>
    </row>
    <row r="104" spans="1:40" ht="26.25" customHeight="1" x14ac:dyDescent="0.25">
      <c r="A104" s="29"/>
      <c r="B104" s="29"/>
      <c r="C104" s="28"/>
      <c r="D104" s="28"/>
      <c r="E104" s="28"/>
      <c r="F104" s="28"/>
      <c r="G104" s="29"/>
      <c r="H104" s="29"/>
      <c r="I104" s="29"/>
      <c r="J104" s="29"/>
      <c r="K104" s="427"/>
      <c r="L104" s="29"/>
      <c r="M104" s="29"/>
      <c r="N104" s="252"/>
      <c r="O104" s="428"/>
      <c r="P104" s="685"/>
      <c r="Q104" s="29"/>
      <c r="R104" s="29"/>
      <c r="S104" s="29"/>
      <c r="T104" s="29"/>
      <c r="U104" s="29"/>
      <c r="V104" s="29"/>
      <c r="W104" s="80"/>
      <c r="X104" s="29"/>
      <c r="Y104" s="29"/>
      <c r="Z104" s="25"/>
      <c r="AA104" s="29"/>
      <c r="AB104" s="686"/>
      <c r="AC104" s="686"/>
      <c r="AD104" s="29"/>
      <c r="AE104" s="29"/>
      <c r="AF104" s="427"/>
      <c r="AG104" s="29"/>
      <c r="AH104" s="29"/>
      <c r="AI104" s="29"/>
      <c r="AJ104" s="29"/>
      <c r="AK104" s="29"/>
      <c r="AL104" s="29"/>
      <c r="AM104" s="29"/>
      <c r="AN104" s="29"/>
    </row>
    <row r="105" spans="1:40" ht="26.25" customHeight="1" x14ac:dyDescent="0.25">
      <c r="A105" s="29"/>
      <c r="B105" s="29"/>
      <c r="C105" s="28"/>
      <c r="D105" s="28"/>
      <c r="E105" s="28"/>
      <c r="F105" s="28"/>
      <c r="G105" s="29"/>
      <c r="H105" s="29"/>
      <c r="I105" s="29"/>
      <c r="J105" s="29"/>
      <c r="K105" s="427"/>
      <c r="L105" s="29"/>
      <c r="M105" s="29"/>
      <c r="N105" s="252"/>
      <c r="O105" s="428"/>
      <c r="P105" s="685"/>
      <c r="Q105" s="29"/>
      <c r="R105" s="29"/>
      <c r="S105" s="29"/>
      <c r="T105" s="29"/>
      <c r="U105" s="29"/>
      <c r="V105" s="29"/>
      <c r="W105" s="80"/>
      <c r="X105" s="29"/>
      <c r="Y105" s="29"/>
      <c r="Z105" s="25"/>
      <c r="AA105" s="29"/>
      <c r="AB105" s="686"/>
      <c r="AC105" s="686"/>
      <c r="AD105" s="29"/>
      <c r="AE105" s="29"/>
      <c r="AF105" s="427"/>
      <c r="AG105" s="29"/>
      <c r="AH105" s="29"/>
      <c r="AI105" s="29"/>
      <c r="AJ105" s="29"/>
      <c r="AK105" s="29"/>
      <c r="AL105" s="29"/>
      <c r="AM105" s="29"/>
      <c r="AN105" s="29"/>
    </row>
    <row r="106" spans="1:40" ht="26.25" customHeight="1" x14ac:dyDescent="0.25">
      <c r="A106" s="29"/>
      <c r="B106" s="29"/>
      <c r="C106" s="28"/>
      <c r="D106" s="28"/>
      <c r="E106" s="28"/>
      <c r="F106" s="28"/>
      <c r="G106" s="29"/>
      <c r="H106" s="29"/>
      <c r="I106" s="29"/>
      <c r="J106" s="29"/>
      <c r="K106" s="427"/>
      <c r="L106" s="29"/>
      <c r="M106" s="29"/>
      <c r="N106" s="252"/>
      <c r="O106" s="428"/>
      <c r="P106" s="685"/>
      <c r="Q106" s="29"/>
      <c r="R106" s="29"/>
      <c r="S106" s="29"/>
      <c r="T106" s="29"/>
      <c r="U106" s="29"/>
      <c r="V106" s="29"/>
      <c r="W106" s="80"/>
      <c r="X106" s="29"/>
      <c r="Y106" s="29"/>
      <c r="Z106" s="25"/>
      <c r="AA106" s="29"/>
      <c r="AB106" s="686"/>
      <c r="AC106" s="686"/>
      <c r="AD106" s="29"/>
      <c r="AE106" s="29"/>
      <c r="AF106" s="427"/>
      <c r="AG106" s="29"/>
      <c r="AH106" s="29"/>
      <c r="AI106" s="29"/>
      <c r="AJ106" s="29"/>
      <c r="AK106" s="29"/>
      <c r="AL106" s="29"/>
      <c r="AM106" s="29"/>
      <c r="AN106" s="29"/>
    </row>
    <row r="107" spans="1:40" ht="26.25" customHeight="1" x14ac:dyDescent="0.25">
      <c r="A107" s="29"/>
      <c r="B107" s="29"/>
      <c r="C107" s="28"/>
      <c r="D107" s="28"/>
      <c r="E107" s="28"/>
      <c r="F107" s="28"/>
      <c r="G107" s="29"/>
      <c r="H107" s="29"/>
      <c r="I107" s="29"/>
      <c r="J107" s="29"/>
      <c r="K107" s="427"/>
      <c r="L107" s="29"/>
      <c r="M107" s="29"/>
      <c r="N107" s="252"/>
      <c r="O107" s="428"/>
      <c r="P107" s="685"/>
      <c r="Q107" s="29"/>
      <c r="R107" s="29"/>
      <c r="S107" s="29"/>
      <c r="T107" s="29"/>
      <c r="U107" s="29"/>
      <c r="V107" s="29"/>
      <c r="W107" s="80"/>
      <c r="X107" s="29"/>
      <c r="Y107" s="29"/>
      <c r="Z107" s="25"/>
      <c r="AA107" s="29"/>
      <c r="AB107" s="686"/>
      <c r="AC107" s="686"/>
      <c r="AD107" s="29"/>
      <c r="AE107" s="29"/>
      <c r="AF107" s="427"/>
      <c r="AG107" s="29"/>
      <c r="AH107" s="29"/>
      <c r="AI107" s="29"/>
      <c r="AJ107" s="29"/>
      <c r="AK107" s="29"/>
      <c r="AL107" s="29"/>
      <c r="AM107" s="29"/>
      <c r="AN107" s="29"/>
    </row>
  </sheetData>
  <sheetProtection algorithmName="SHA-512" hashValue="6ksUMW5vT5ItR5wI+v8ZQDgCXeFRKMVAAg5M1VvpP4Fq8lnYh8wsm6qHNvCkLJfVjGt0g4ZF7vrtQApY18o4JQ==" saltValue="h/P7NJc4AQB/s824plKodg==" spinCount="100000" sheet="1" objects="1" scenarios="1"/>
  <mergeCells count="17">
    <mergeCell ref="AE3:AE4"/>
    <mergeCell ref="AF3:AF4"/>
    <mergeCell ref="AG3:AG4"/>
    <mergeCell ref="K3:K4"/>
    <mergeCell ref="M3:X3"/>
    <mergeCell ref="Z3:Z4"/>
    <mergeCell ref="AB3:AB4"/>
    <mergeCell ref="AC3:AC4"/>
    <mergeCell ref="AD3:AD4"/>
    <mergeCell ref="B1:AF1"/>
    <mergeCell ref="AF2:AG2"/>
    <mergeCell ref="A3:A4"/>
    <mergeCell ref="B3:B4"/>
    <mergeCell ref="C3:C4"/>
    <mergeCell ref="G3:G4"/>
    <mergeCell ref="H3:H4"/>
    <mergeCell ref="I3:I4"/>
  </mergeCells>
  <pageMargins left="0.19685039370078741" right="0" top="0.15748031496062992" bottom="0" header="0.31496062992125984" footer="0.31496062992125984"/>
  <pageSetup paperSize="8" scale="95"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5</vt:i4>
      </vt:variant>
      <vt:variant>
        <vt:lpstr>Įvardytieji diapazonai</vt:lpstr>
      </vt:variant>
      <vt:variant>
        <vt:i4>6</vt:i4>
      </vt:variant>
    </vt:vector>
  </HeadingPairs>
  <TitlesOfParts>
    <vt:vector size="11" baseType="lpstr">
      <vt:lpstr>2024 m paj</vt:lpstr>
      <vt:lpstr>2024 m. asgnavimai iš viso</vt:lpstr>
      <vt:lpstr>31 pr.2024</vt:lpstr>
      <vt:lpstr>32 pr.2024</vt:lpstr>
      <vt:lpstr>33 pr.2024</vt:lpstr>
      <vt:lpstr>'2024 m. asgnavimai iš viso'!Print_Area</vt:lpstr>
      <vt:lpstr>'31 pr.2024'!Print_Area</vt:lpstr>
      <vt:lpstr>'33 pr.2024'!Print_Area</vt:lpstr>
      <vt:lpstr>'31 pr.2024'!Print_Titles</vt:lpstr>
      <vt:lpstr>'32 pr.2024'!Print_Titles</vt:lpstr>
      <vt:lpstr>'33 pr.2024'!Print_Titles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Mindaugas Vaikšnoras</dc:creator>
  <cp:lastModifiedBy>Mindaugas Vaikšnoras</cp:lastModifiedBy>
  <dcterms:created xsi:type="dcterms:W3CDTF">2015-06-05T18:19:34Z</dcterms:created>
  <dcterms:modified xsi:type="dcterms:W3CDTF">2023-12-19T07:57:16Z</dcterms:modified>
</cp:coreProperties>
</file>